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heckCompatibility="1"/>
  <mc:AlternateContent xmlns:mc="http://schemas.openxmlformats.org/markup-compatibility/2006">
    <mc:Choice Requires="x15">
      <x15ac:absPath xmlns:x15ac="http://schemas.microsoft.com/office/spreadsheetml/2010/11/ac" url="/Users/genepesti/ownCloud/Doccuments/FF Manual/WuffdAU/OPFF May 2024/"/>
    </mc:Choice>
  </mc:AlternateContent>
  <xr:revisionPtr revIDLastSave="0" documentId="13_ncr:1_{02B8211E-576B-BC4D-82F6-FBEA6CEB1C73}" xr6:coauthVersionLast="47" xr6:coauthVersionMax="47" xr10:uidLastSave="{00000000-0000-0000-0000-000000000000}"/>
  <bookViews>
    <workbookView xWindow="26880" yWindow="-2660" windowWidth="38400" windowHeight="19860" xr2:uid="{00000000-000D-0000-FFFF-FFFF00000000}"/>
  </bookViews>
  <sheets>
    <sheet name="Title" sheetId="1" r:id="rId1"/>
    <sheet name="Instructiona &amp; Inputs" sheetId="6" r:id="rId2"/>
    <sheet name="Fiinding the Average" sheetId="13" r:id="rId3"/>
    <sheet name="Sale Day" sheetId="4" r:id="rId4"/>
    <sheet name="Feed Needs" sheetId="10" r:id="rId5"/>
    <sheet name="Weight Graph" sheetId="9" r:id="rId6"/>
    <sheet name="Age Graph" sheetId="8" r:id="rId7"/>
    <sheet name="WC" sheetId="7" state="hidden" r:id="rId8"/>
    <sheet name="AC" sheetId="2" state="hidden" r:id="rId9"/>
    <sheet name="Figure for Prose" sheetId="12" state="hidden" r:id="rId10"/>
  </sheets>
  <externalReferences>
    <externalReference r:id="rId11"/>
  </externalReferences>
  <definedNames>
    <definedName name="__123Graph_A" localSheetId="7" hidden="1">WC!$Z$10:$Z$40</definedName>
    <definedName name="__123Graph_A" hidden="1">AC!$Z$10:$Z$40</definedName>
    <definedName name="__123Graph_B" localSheetId="7" hidden="1">WC!$AA$10:$AA$40</definedName>
    <definedName name="__123Graph_B" hidden="1">AC!$AA$10:$AA$40</definedName>
    <definedName name="__123Graph_X" localSheetId="7" hidden="1">WC!$Y$9:$Y$41</definedName>
    <definedName name="__123Graph_X" hidden="1">AC!$Y$9:$Y$41</definedName>
    <definedName name="G_þ_P_" localSheetId="2">[1]AC!#REF!</definedName>
    <definedName name="G_þ_P_" localSheetId="7">WC!#REF!</definedName>
    <definedName name="G_þ_P_">AC!#REF!</definedName>
    <definedName name="_xlnm.Print_Area" localSheetId="8">AC!$B$5:$Y$57</definedName>
    <definedName name="_xlnm.Print_Area" localSheetId="7">WC!$B$5:$Y$57</definedName>
    <definedName name="Print_Area_MI" localSheetId="8">AC!$B$5:$Y$57</definedName>
    <definedName name="Print_Area_MI" localSheetId="7">WC!$B$5:$Y$57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3" l="1"/>
  <c r="S15" i="13"/>
  <c r="S20" i="13" s="1"/>
  <c r="N7" i="13"/>
  <c r="N8" i="13" s="1"/>
  <c r="N9" i="13" s="1"/>
  <c r="N10" i="13" s="1"/>
  <c r="N11" i="13" s="1"/>
  <c r="N12" i="13" s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K7" i="13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H7" i="13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G12" i="10"/>
  <c r="G11" i="10"/>
  <c r="K12" i="4"/>
  <c r="K13" i="4" s="1"/>
  <c r="A13" i="4"/>
  <c r="A14" i="4" s="1"/>
  <c r="A15" i="4" s="1"/>
  <c r="A16" i="4" s="1"/>
  <c r="A17" i="4" s="1"/>
  <c r="A18" i="4" s="1"/>
  <c r="A19" i="4" s="1"/>
  <c r="S19" i="4" s="1"/>
  <c r="S17" i="4" l="1"/>
  <c r="S16" i="4"/>
  <c r="S14" i="4"/>
  <c r="S15" i="4"/>
  <c r="S13" i="4"/>
  <c r="B100" i="10"/>
  <c r="E100" i="10" s="1"/>
  <c r="S18" i="4"/>
  <c r="G100" i="10"/>
  <c r="K14" i="4"/>
  <c r="D100" i="10"/>
  <c r="C100" i="10"/>
  <c r="K15" i="4" l="1"/>
  <c r="K16" i="4" l="1"/>
  <c r="K17" i="4" l="1"/>
  <c r="K18" i="4" l="1"/>
  <c r="K19" i="4" l="1"/>
  <c r="A20" i="4"/>
  <c r="J12" i="10"/>
  <c r="S11" i="4"/>
  <c r="P2" i="4"/>
  <c r="Q11" i="4"/>
  <c r="P11" i="4"/>
  <c r="A21" i="4" l="1"/>
  <c r="S21" i="4" s="1"/>
  <c r="B101" i="10"/>
  <c r="K20" i="4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S20" i="4"/>
  <c r="Y11" i="2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F16" i="2"/>
  <c r="F15" i="2"/>
  <c r="F15" i="7"/>
  <c r="F16" i="7"/>
  <c r="F68" i="7"/>
  <c r="B68" i="7"/>
  <c r="F67" i="7"/>
  <c r="B67" i="7"/>
  <c r="F66" i="7"/>
  <c r="B66" i="7"/>
  <c r="F65" i="7"/>
  <c r="B65" i="7"/>
  <c r="F64" i="7"/>
  <c r="B64" i="7"/>
  <c r="F63" i="7"/>
  <c r="B63" i="7"/>
  <c r="F62" i="7"/>
  <c r="B62" i="7"/>
  <c r="D47" i="7"/>
  <c r="C47" i="7"/>
  <c r="Y11" i="7"/>
  <c r="AB11" i="7" s="1"/>
  <c r="AD11" i="7" s="1"/>
  <c r="AH10" i="7"/>
  <c r="AC10" i="7"/>
  <c r="AB10" i="7"/>
  <c r="E64" i="6"/>
  <c r="F64" i="6" s="1"/>
  <c r="G64" i="6"/>
  <c r="E55" i="6"/>
  <c r="F55" i="6" s="1"/>
  <c r="G55" i="6"/>
  <c r="E56" i="6"/>
  <c r="F56" i="6" s="1"/>
  <c r="G56" i="6"/>
  <c r="E57" i="6"/>
  <c r="F57" i="6" s="1"/>
  <c r="G57" i="6"/>
  <c r="E58" i="6"/>
  <c r="F58" i="6" s="1"/>
  <c r="G58" i="6"/>
  <c r="E59" i="6"/>
  <c r="F59" i="6" s="1"/>
  <c r="G59" i="6"/>
  <c r="E60" i="6"/>
  <c r="F60" i="6" s="1"/>
  <c r="G60" i="6"/>
  <c r="E61" i="6"/>
  <c r="F61" i="6" s="1"/>
  <c r="G61" i="6"/>
  <c r="E62" i="6"/>
  <c r="F62" i="6" s="1"/>
  <c r="G62" i="6"/>
  <c r="E63" i="6"/>
  <c r="F63" i="6" s="1"/>
  <c r="G63" i="6"/>
  <c r="E54" i="6"/>
  <c r="F54" i="6" s="1"/>
  <c r="G54" i="6"/>
  <c r="C54" i="6"/>
  <c r="D54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64" i="6" s="1"/>
  <c r="D64" i="6" s="1"/>
  <c r="D47" i="2"/>
  <c r="C47" i="2"/>
  <c r="AB10" i="2"/>
  <c r="AD10" i="2" s="1"/>
  <c r="AC10" i="2"/>
  <c r="AH10" i="2"/>
  <c r="B62" i="2"/>
  <c r="F62" i="2"/>
  <c r="B63" i="2"/>
  <c r="F63" i="2"/>
  <c r="B64" i="2"/>
  <c r="F64" i="2"/>
  <c r="B65" i="2"/>
  <c r="F65" i="2"/>
  <c r="B66" i="2"/>
  <c r="F66" i="2"/>
  <c r="B67" i="2"/>
  <c r="F67" i="2"/>
  <c r="B68" i="2"/>
  <c r="F68" i="2"/>
  <c r="C101" i="10" l="1"/>
  <c r="G101" i="10"/>
  <c r="D101" i="10"/>
  <c r="E101" i="10"/>
  <c r="A22" i="4"/>
  <c r="B102" i="10"/>
  <c r="K35" i="4"/>
  <c r="AB11" i="2"/>
  <c r="AD11" i="2" s="1"/>
  <c r="AH11" i="2"/>
  <c r="AC11" i="2"/>
  <c r="AB12" i="2"/>
  <c r="AD12" i="2" s="1"/>
  <c r="AH12" i="2"/>
  <c r="AC12" i="2"/>
  <c r="AB13" i="2"/>
  <c r="AD13" i="2" s="1"/>
  <c r="AH13" i="2"/>
  <c r="AC13" i="2"/>
  <c r="AC11" i="7"/>
  <c r="Y12" i="7"/>
  <c r="Y13" i="7" s="1"/>
  <c r="AB13" i="7" s="1"/>
  <c r="AH11" i="7"/>
  <c r="AD10" i="7"/>
  <c r="AB12" i="7"/>
  <c r="AC12" i="7"/>
  <c r="AH12" i="7"/>
  <c r="C58" i="6"/>
  <c r="D58" i="6" s="1"/>
  <c r="C62" i="6"/>
  <c r="D62" i="6" s="1"/>
  <c r="C57" i="6"/>
  <c r="D57" i="6" s="1"/>
  <c r="C55" i="6"/>
  <c r="C61" i="6"/>
  <c r="D61" i="6" s="1"/>
  <c r="C56" i="6"/>
  <c r="D56" i="6" s="1"/>
  <c r="C59" i="6"/>
  <c r="D59" i="6" s="1"/>
  <c r="C60" i="6"/>
  <c r="D60" i="6" s="1"/>
  <c r="C63" i="6"/>
  <c r="D63" i="6" s="1"/>
  <c r="D67" i="6" a="1"/>
  <c r="D67" i="6" s="1"/>
  <c r="F13" i="7" s="1"/>
  <c r="AB14" i="2"/>
  <c r="AH14" i="2"/>
  <c r="AC14" i="2"/>
  <c r="AC13" i="7" l="1"/>
  <c r="AH13" i="7"/>
  <c r="Y14" i="7"/>
  <c r="AH14" i="7" s="1"/>
  <c r="C102" i="10"/>
  <c r="G102" i="10"/>
  <c r="D102" i="10"/>
  <c r="E102" i="10"/>
  <c r="A23" i="4"/>
  <c r="B103" i="10"/>
  <c r="S22" i="4"/>
  <c r="D55" i="6"/>
  <c r="D68" i="6" s="1" a="1"/>
  <c r="K36" i="4"/>
  <c r="AD12" i="7"/>
  <c r="AD13" i="7"/>
  <c r="AC14" i="7"/>
  <c r="AB14" i="7"/>
  <c r="F67" i="6"/>
  <c r="F11" i="7" s="1"/>
  <c r="E67" i="6"/>
  <c r="F12" i="7" s="1"/>
  <c r="AD14" i="2"/>
  <c r="AC15" i="2"/>
  <c r="AB15" i="2"/>
  <c r="AH15" i="2"/>
  <c r="Y15" i="7" l="1"/>
  <c r="C103" i="10"/>
  <c r="D103" i="10"/>
  <c r="G103" i="10"/>
  <c r="E103" i="10"/>
  <c r="A24" i="4"/>
  <c r="B104" i="10"/>
  <c r="S23" i="4"/>
  <c r="D68" i="6"/>
  <c r="F13" i="2" s="1"/>
  <c r="E68" i="6"/>
  <c r="F12" i="2" s="1"/>
  <c r="F68" i="6"/>
  <c r="F11" i="2" s="1"/>
  <c r="K37" i="4"/>
  <c r="Z11" i="7"/>
  <c r="Z13" i="7"/>
  <c r="Z12" i="7"/>
  <c r="W4" i="7"/>
  <c r="W5" i="7" s="1"/>
  <c r="W6" i="7" s="1"/>
  <c r="Z10" i="7"/>
  <c r="Z14" i="7"/>
  <c r="AD14" i="7"/>
  <c r="Y16" i="7"/>
  <c r="AC15" i="7"/>
  <c r="AH15" i="7"/>
  <c r="AB15" i="7"/>
  <c r="Z15" i="7"/>
  <c r="AD15" i="2"/>
  <c r="AB16" i="2"/>
  <c r="AH16" i="2"/>
  <c r="AC16" i="2"/>
  <c r="Z19" i="2" l="1"/>
  <c r="A25" i="4"/>
  <c r="B105" i="10"/>
  <c r="S24" i="4"/>
  <c r="C104" i="10"/>
  <c r="D104" i="10"/>
  <c r="G104" i="10"/>
  <c r="E104" i="10"/>
  <c r="W4" i="2"/>
  <c r="Z10" i="2"/>
  <c r="Z11" i="2"/>
  <c r="Z16" i="2"/>
  <c r="Z14" i="2"/>
  <c r="Z15" i="2"/>
  <c r="Z12" i="2"/>
  <c r="Z13" i="2"/>
  <c r="Z17" i="2"/>
  <c r="Z18" i="2"/>
  <c r="AA11" i="7"/>
  <c r="AF11" i="7" s="1"/>
  <c r="AA12" i="7"/>
  <c r="AE12" i="7" s="1"/>
  <c r="AA10" i="7"/>
  <c r="AG10" i="7" s="1"/>
  <c r="AA14" i="7"/>
  <c r="AE14" i="7" s="1"/>
  <c r="AA13" i="7"/>
  <c r="AE13" i="7" s="1"/>
  <c r="K38" i="4"/>
  <c r="AA15" i="7"/>
  <c r="AE15" i="7" s="1"/>
  <c r="Z20" i="2"/>
  <c r="W5" i="2"/>
  <c r="Z16" i="7"/>
  <c r="AA16" i="7" s="1"/>
  <c r="Y17" i="7"/>
  <c r="AH16" i="7"/>
  <c r="AB16" i="7"/>
  <c r="AC16" i="7"/>
  <c r="AD15" i="7"/>
  <c r="AD16" i="2"/>
  <c r="AC17" i="2"/>
  <c r="AB17" i="2"/>
  <c r="AH17" i="2"/>
  <c r="D105" i="10" l="1"/>
  <c r="G105" i="10"/>
  <c r="C105" i="10"/>
  <c r="E105" i="10"/>
  <c r="A26" i="4"/>
  <c r="B106" i="10"/>
  <c r="S25" i="4"/>
  <c r="AG14" i="7"/>
  <c r="AF14" i="7"/>
  <c r="AF13" i="7"/>
  <c r="AG12" i="7"/>
  <c r="AG13" i="7"/>
  <c r="AF10" i="7"/>
  <c r="AE10" i="7"/>
  <c r="AG15" i="7"/>
  <c r="AF15" i="7"/>
  <c r="AF12" i="7"/>
  <c r="AG11" i="7"/>
  <c r="AE11" i="7"/>
  <c r="K39" i="4"/>
  <c r="AA17" i="2"/>
  <c r="AE17" i="2" s="1"/>
  <c r="AA14" i="2"/>
  <c r="AF14" i="2" s="1"/>
  <c r="AA16" i="2"/>
  <c r="AE16" i="2" s="1"/>
  <c r="AA15" i="2"/>
  <c r="AE15" i="2" s="1"/>
  <c r="AA18" i="2"/>
  <c r="AE18" i="2" s="1"/>
  <c r="AA20" i="2"/>
  <c r="AA19" i="2"/>
  <c r="Z21" i="2"/>
  <c r="AA21" i="2" s="1"/>
  <c r="AA11" i="2"/>
  <c r="AE11" i="2" s="1"/>
  <c r="AA13" i="2"/>
  <c r="AE13" i="2" s="1"/>
  <c r="AA10" i="2"/>
  <c r="AG10" i="2" s="1"/>
  <c r="AA12" i="2"/>
  <c r="AE12" i="2" s="1"/>
  <c r="W6" i="2"/>
  <c r="AE16" i="7"/>
  <c r="AF16" i="7"/>
  <c r="AC17" i="7"/>
  <c r="Z17" i="7"/>
  <c r="AA17" i="7" s="1"/>
  <c r="AB17" i="7"/>
  <c r="Y18" i="7"/>
  <c r="AH17" i="7"/>
  <c r="AG16" i="7"/>
  <c r="AD16" i="7"/>
  <c r="AD17" i="2"/>
  <c r="AB18" i="2"/>
  <c r="AC18" i="2"/>
  <c r="AH18" i="2"/>
  <c r="C106" i="10" l="1"/>
  <c r="D106" i="10"/>
  <c r="G106" i="10"/>
  <c r="E106" i="10"/>
  <c r="A27" i="4"/>
  <c r="B107" i="10"/>
  <c r="S26" i="4"/>
  <c r="AF13" i="2"/>
  <c r="AF15" i="2"/>
  <c r="AG15" i="2"/>
  <c r="K40" i="4"/>
  <c r="Z22" i="2"/>
  <c r="AA22" i="2" s="1"/>
  <c r="AG12" i="2"/>
  <c r="AF12" i="2"/>
  <c r="AF10" i="2"/>
  <c r="AE10" i="2"/>
  <c r="AG14" i="2"/>
  <c r="AE14" i="2"/>
  <c r="AF16" i="2"/>
  <c r="AG16" i="2"/>
  <c r="AG13" i="2"/>
  <c r="AG11" i="2"/>
  <c r="AF11" i="2"/>
  <c r="AG17" i="2"/>
  <c r="AF17" i="2"/>
  <c r="AE17" i="7"/>
  <c r="AF17" i="7"/>
  <c r="AD17" i="7"/>
  <c r="AG17" i="7"/>
  <c r="AC18" i="7"/>
  <c r="Y19" i="7"/>
  <c r="AH18" i="7"/>
  <c r="AB18" i="7"/>
  <c r="Z18" i="7"/>
  <c r="AA18" i="7" s="1"/>
  <c r="AF18" i="2"/>
  <c r="AD18" i="2"/>
  <c r="AG18" i="2"/>
  <c r="AB19" i="2"/>
  <c r="AH19" i="2"/>
  <c r="AC19" i="2"/>
  <c r="D107" i="10" l="1"/>
  <c r="C107" i="10"/>
  <c r="G107" i="10"/>
  <c r="E107" i="10"/>
  <c r="A28" i="4"/>
  <c r="B108" i="10"/>
  <c r="S27" i="4"/>
  <c r="K41" i="4"/>
  <c r="Z23" i="2"/>
  <c r="AA23" i="2" s="1"/>
  <c r="AE18" i="7"/>
  <c r="AF18" i="7"/>
  <c r="AD18" i="7"/>
  <c r="AG18" i="7"/>
  <c r="AB19" i="7"/>
  <c r="AH19" i="7"/>
  <c r="Z19" i="7"/>
  <c r="AA19" i="7" s="1"/>
  <c r="Y20" i="7"/>
  <c r="AC19" i="7"/>
  <c r="AE19" i="2"/>
  <c r="AF19" i="2"/>
  <c r="AD19" i="2"/>
  <c r="AG19" i="2"/>
  <c r="AE20" i="2"/>
  <c r="AH20" i="2"/>
  <c r="AC20" i="2"/>
  <c r="AB20" i="2"/>
  <c r="C108" i="10" l="1"/>
  <c r="D108" i="10"/>
  <c r="E108" i="10"/>
  <c r="G108" i="10"/>
  <c r="A29" i="4"/>
  <c r="B109" i="10"/>
  <c r="S28" i="4"/>
  <c r="K42" i="4"/>
  <c r="Z24" i="2"/>
  <c r="AA24" i="2" s="1"/>
  <c r="AE19" i="7"/>
  <c r="AF19" i="7"/>
  <c r="AB20" i="7"/>
  <c r="Z20" i="7"/>
  <c r="AA20" i="7" s="1"/>
  <c r="AC20" i="7"/>
  <c r="Y21" i="7"/>
  <c r="AH20" i="7"/>
  <c r="AG19" i="7"/>
  <c r="AD19" i="7"/>
  <c r="AD20" i="2"/>
  <c r="AG20" i="2"/>
  <c r="AE21" i="2"/>
  <c r="AB21" i="2"/>
  <c r="AH21" i="2"/>
  <c r="AC21" i="2"/>
  <c r="AF20" i="2"/>
  <c r="C109" i="10" l="1"/>
  <c r="E109" i="10"/>
  <c r="G109" i="10"/>
  <c r="D109" i="10"/>
  <c r="A30" i="4"/>
  <c r="B110" i="10"/>
  <c r="S29" i="4"/>
  <c r="K43" i="4"/>
  <c r="Z25" i="2"/>
  <c r="AA25" i="2" s="1"/>
  <c r="AE20" i="7"/>
  <c r="AF20" i="7"/>
  <c r="Y22" i="7"/>
  <c r="AH21" i="7"/>
  <c r="AC21" i="7"/>
  <c r="AB21" i="7"/>
  <c r="Z21" i="7"/>
  <c r="AA21" i="7" s="1"/>
  <c r="AG20" i="7"/>
  <c r="AD20" i="7"/>
  <c r="AD21" i="2"/>
  <c r="AG21" i="2"/>
  <c r="AF21" i="2"/>
  <c r="AH22" i="2"/>
  <c r="AC22" i="2"/>
  <c r="AB22" i="2"/>
  <c r="E110" i="10" l="1"/>
  <c r="C110" i="10"/>
  <c r="D110" i="10"/>
  <c r="G110" i="10"/>
  <c r="A31" i="4"/>
  <c r="B111" i="10"/>
  <c r="S30" i="4"/>
  <c r="K44" i="4"/>
  <c r="Z26" i="2"/>
  <c r="AA26" i="2" s="1"/>
  <c r="AE21" i="7"/>
  <c r="AF21" i="7"/>
  <c r="AG21" i="7"/>
  <c r="AD21" i="7"/>
  <c r="AB22" i="7"/>
  <c r="Y23" i="7"/>
  <c r="Z22" i="7"/>
  <c r="AA22" i="7" s="1"/>
  <c r="AH22" i="7"/>
  <c r="AC22" i="7"/>
  <c r="AE22" i="2"/>
  <c r="AF22" i="2"/>
  <c r="AD22" i="2"/>
  <c r="AG22" i="2"/>
  <c r="AB23" i="2"/>
  <c r="AH23" i="2"/>
  <c r="AC23" i="2"/>
  <c r="C111" i="10" l="1"/>
  <c r="E111" i="10"/>
  <c r="D111" i="10"/>
  <c r="G111" i="10"/>
  <c r="S31" i="4"/>
  <c r="B112" i="10"/>
  <c r="A32" i="4"/>
  <c r="K45" i="4"/>
  <c r="Z27" i="2"/>
  <c r="AA27" i="2" s="1"/>
  <c r="AE22" i="7"/>
  <c r="AF22" i="7"/>
  <c r="AB23" i="7"/>
  <c r="Z23" i="7"/>
  <c r="AA23" i="7" s="1"/>
  <c r="AC23" i="7"/>
  <c r="Y24" i="7"/>
  <c r="AH23" i="7"/>
  <c r="AG22" i="7"/>
  <c r="AD22" i="7"/>
  <c r="AE23" i="2"/>
  <c r="AF23" i="2"/>
  <c r="AH24" i="2"/>
  <c r="AC24" i="2"/>
  <c r="AB24" i="2"/>
  <c r="AD23" i="2"/>
  <c r="AG23" i="2"/>
  <c r="S32" i="4" l="1"/>
  <c r="B113" i="10"/>
  <c r="A33" i="4"/>
  <c r="E112" i="10"/>
  <c r="C112" i="10"/>
  <c r="D112" i="10"/>
  <c r="G112" i="10"/>
  <c r="K46" i="4"/>
  <c r="Z28" i="2"/>
  <c r="AA28" i="2" s="1"/>
  <c r="AE23" i="7"/>
  <c r="AF23" i="7"/>
  <c r="AG23" i="7"/>
  <c r="AD23" i="7"/>
  <c r="AC24" i="7"/>
  <c r="AB24" i="7"/>
  <c r="Y25" i="7"/>
  <c r="AH24" i="7"/>
  <c r="Z24" i="7"/>
  <c r="AA24" i="7" s="1"/>
  <c r="AE24" i="2"/>
  <c r="AF24" i="2"/>
  <c r="AC25" i="2"/>
  <c r="AH25" i="2"/>
  <c r="AB25" i="2"/>
  <c r="AG24" i="2"/>
  <c r="AD24" i="2"/>
  <c r="B114" i="10" l="1"/>
  <c r="A34" i="4"/>
  <c r="S33" i="4"/>
  <c r="D113" i="10"/>
  <c r="G113" i="10"/>
  <c r="E113" i="10"/>
  <c r="C113" i="10"/>
  <c r="K47" i="4"/>
  <c r="Z29" i="2"/>
  <c r="AA29" i="2" s="1"/>
  <c r="AE24" i="7"/>
  <c r="AF24" i="7"/>
  <c r="AB25" i="7"/>
  <c r="Z25" i="7"/>
  <c r="AA25" i="7" s="1"/>
  <c r="Y26" i="7"/>
  <c r="AH25" i="7"/>
  <c r="AC25" i="7"/>
  <c r="AD24" i="7"/>
  <c r="AG24" i="7"/>
  <c r="AE25" i="2"/>
  <c r="AF25" i="2"/>
  <c r="AE26" i="2"/>
  <c r="AC26" i="2"/>
  <c r="AB26" i="2"/>
  <c r="AH26" i="2"/>
  <c r="AG25" i="2"/>
  <c r="AD25" i="2"/>
  <c r="B115" i="10" l="1"/>
  <c r="A35" i="4"/>
  <c r="S34" i="4"/>
  <c r="D114" i="10"/>
  <c r="C114" i="10"/>
  <c r="G114" i="10"/>
  <c r="E114" i="10"/>
  <c r="K48" i="4"/>
  <c r="Z30" i="2"/>
  <c r="AA30" i="2" s="1"/>
  <c r="AE25" i="7"/>
  <c r="AF25" i="7"/>
  <c r="AH26" i="7"/>
  <c r="Z26" i="7"/>
  <c r="AA26" i="7" s="1"/>
  <c r="AC26" i="7"/>
  <c r="AB26" i="7"/>
  <c r="Y27" i="7"/>
  <c r="AG25" i="7"/>
  <c r="AD25" i="7"/>
  <c r="AD26" i="2"/>
  <c r="AG26" i="2"/>
  <c r="AB27" i="2"/>
  <c r="AH27" i="2"/>
  <c r="AE27" i="2"/>
  <c r="AC27" i="2"/>
  <c r="AF26" i="2"/>
  <c r="B116" i="10" l="1"/>
  <c r="A36" i="4"/>
  <c r="S35" i="4"/>
  <c r="C115" i="10"/>
  <c r="D115" i="10"/>
  <c r="E115" i="10"/>
  <c r="G115" i="10"/>
  <c r="K49" i="4"/>
  <c r="Z31" i="2"/>
  <c r="AA31" i="2" s="1"/>
  <c r="AE26" i="7"/>
  <c r="AF26" i="7"/>
  <c r="Y28" i="7"/>
  <c r="AH27" i="7"/>
  <c r="AC27" i="7"/>
  <c r="AB27" i="7"/>
  <c r="Z27" i="7"/>
  <c r="AA27" i="7" s="1"/>
  <c r="AG26" i="7"/>
  <c r="AD26" i="7"/>
  <c r="AD27" i="2"/>
  <c r="AG27" i="2"/>
  <c r="AB28" i="2"/>
  <c r="AC28" i="2"/>
  <c r="AH28" i="2"/>
  <c r="AF27" i="2"/>
  <c r="B117" i="10" l="1"/>
  <c r="A37" i="4"/>
  <c r="S36" i="4"/>
  <c r="E116" i="10"/>
  <c r="D116" i="10"/>
  <c r="G116" i="10"/>
  <c r="C116" i="10"/>
  <c r="K50" i="4"/>
  <c r="Z32" i="2"/>
  <c r="AA32" i="2" s="1"/>
  <c r="AE27" i="7"/>
  <c r="AF27" i="7"/>
  <c r="AG27" i="7"/>
  <c r="AD27" i="7"/>
  <c r="AC28" i="7"/>
  <c r="AB28" i="7"/>
  <c r="Z28" i="7"/>
  <c r="AA28" i="7" s="1"/>
  <c r="Y29" i="7"/>
  <c r="AH28" i="7"/>
  <c r="AE28" i="2"/>
  <c r="AF28" i="2"/>
  <c r="AG28" i="2"/>
  <c r="AD28" i="2"/>
  <c r="AC29" i="2"/>
  <c r="AB29" i="2"/>
  <c r="AH29" i="2"/>
  <c r="B118" i="10" l="1"/>
  <c r="S37" i="4"/>
  <c r="A38" i="4"/>
  <c r="C117" i="10"/>
  <c r="D117" i="10"/>
  <c r="E117" i="10"/>
  <c r="G117" i="10"/>
  <c r="K51" i="4"/>
  <c r="Z33" i="2"/>
  <c r="AA33" i="2" s="1"/>
  <c r="AE28" i="7"/>
  <c r="AF28" i="7"/>
  <c r="AD28" i="7"/>
  <c r="AG28" i="7"/>
  <c r="Y30" i="7"/>
  <c r="AH29" i="7"/>
  <c r="AC29" i="7"/>
  <c r="AB29" i="7"/>
  <c r="Z29" i="7"/>
  <c r="AA29" i="7" s="1"/>
  <c r="AE29" i="2"/>
  <c r="AF29" i="2"/>
  <c r="AC30" i="2"/>
  <c r="AH30" i="2"/>
  <c r="AB30" i="2"/>
  <c r="AG29" i="2"/>
  <c r="AD29" i="2"/>
  <c r="B119" i="10" l="1"/>
  <c r="S38" i="4"/>
  <c r="A39" i="4"/>
  <c r="C118" i="10"/>
  <c r="D118" i="10"/>
  <c r="G118" i="10"/>
  <c r="E118" i="10"/>
  <c r="K52" i="4"/>
  <c r="Z34" i="2"/>
  <c r="AA34" i="2" s="1"/>
  <c r="AE29" i="7"/>
  <c r="AF29" i="7"/>
  <c r="Z30" i="7"/>
  <c r="AA30" i="7" s="1"/>
  <c r="AE30" i="7" s="1"/>
  <c r="Y31" i="7"/>
  <c r="AH30" i="7"/>
  <c r="AC30" i="7"/>
  <c r="AB30" i="7"/>
  <c r="AD29" i="7"/>
  <c r="AG29" i="7"/>
  <c r="AE30" i="2"/>
  <c r="AF30" i="2"/>
  <c r="AC31" i="2"/>
  <c r="AH31" i="2"/>
  <c r="AE31" i="2"/>
  <c r="AB31" i="2"/>
  <c r="AG30" i="2"/>
  <c r="AD30" i="2"/>
  <c r="B120" i="10" l="1"/>
  <c r="S39" i="4"/>
  <c r="A40" i="4"/>
  <c r="C119" i="10"/>
  <c r="D119" i="10"/>
  <c r="E119" i="10"/>
  <c r="G119" i="10"/>
  <c r="K53" i="4"/>
  <c r="Z35" i="2"/>
  <c r="AA35" i="2" s="1"/>
  <c r="AF30" i="7"/>
  <c r="AC31" i="7"/>
  <c r="AB31" i="7"/>
  <c r="Z31" i="7"/>
  <c r="AA31" i="7" s="1"/>
  <c r="Y32" i="7"/>
  <c r="AH31" i="7"/>
  <c r="AG30" i="7"/>
  <c r="AD30" i="7"/>
  <c r="AD31" i="2"/>
  <c r="AG31" i="2"/>
  <c r="AF31" i="2"/>
  <c r="AB32" i="2"/>
  <c r="AC32" i="2"/>
  <c r="AH32" i="2"/>
  <c r="AE32" i="2"/>
  <c r="B121" i="10" l="1"/>
  <c r="S40" i="4"/>
  <c r="A41" i="4"/>
  <c r="C120" i="10"/>
  <c r="E120" i="10"/>
  <c r="D120" i="10"/>
  <c r="G120" i="10"/>
  <c r="K54" i="4"/>
  <c r="Z36" i="2"/>
  <c r="AA36" i="2" s="1"/>
  <c r="AE31" i="7"/>
  <c r="AF31" i="7"/>
  <c r="Y33" i="7"/>
  <c r="AC32" i="7"/>
  <c r="AH32" i="7"/>
  <c r="AB32" i="7"/>
  <c r="Z32" i="7"/>
  <c r="AA32" i="7" s="1"/>
  <c r="AD31" i="7"/>
  <c r="AG31" i="7"/>
  <c r="AD32" i="2"/>
  <c r="AG32" i="2"/>
  <c r="AC33" i="2"/>
  <c r="AH33" i="2"/>
  <c r="AB33" i="2"/>
  <c r="AE33" i="2"/>
  <c r="AF32" i="2"/>
  <c r="B122" i="10" l="1"/>
  <c r="S41" i="4"/>
  <c r="A42" i="4"/>
  <c r="D121" i="10"/>
  <c r="E121" i="10"/>
  <c r="G121" i="10"/>
  <c r="C121" i="10"/>
  <c r="K55" i="4"/>
  <c r="Z37" i="2"/>
  <c r="AA37" i="2" s="1"/>
  <c r="AE32" i="7"/>
  <c r="AF32" i="7"/>
  <c r="AG32" i="7"/>
  <c r="AD32" i="7"/>
  <c r="AB33" i="7"/>
  <c r="Z33" i="7"/>
  <c r="AA33" i="7" s="1"/>
  <c r="AC33" i="7"/>
  <c r="Y34" i="7"/>
  <c r="AH33" i="7"/>
  <c r="AF33" i="2"/>
  <c r="AC34" i="2"/>
  <c r="AH34" i="2"/>
  <c r="AB34" i="2"/>
  <c r="AG33" i="2"/>
  <c r="AD33" i="2"/>
  <c r="B123" i="10" l="1"/>
  <c r="S42" i="4"/>
  <c r="A43" i="4"/>
  <c r="C122" i="10"/>
  <c r="G122" i="10"/>
  <c r="E122" i="10"/>
  <c r="D122" i="10"/>
  <c r="K56" i="4"/>
  <c r="Z38" i="2"/>
  <c r="AA38" i="2" s="1"/>
  <c r="AE33" i="7"/>
  <c r="AF33" i="7"/>
  <c r="AG33" i="7"/>
  <c r="AD33" i="7"/>
  <c r="AH34" i="7"/>
  <c r="Z34" i="7"/>
  <c r="AA34" i="7" s="1"/>
  <c r="AE34" i="7" s="1"/>
  <c r="AC34" i="7"/>
  <c r="AB34" i="7"/>
  <c r="Y35" i="7"/>
  <c r="AE34" i="2"/>
  <c r="AF34" i="2"/>
  <c r="AG34" i="2"/>
  <c r="AD34" i="2"/>
  <c r="AE35" i="2"/>
  <c r="AB35" i="2"/>
  <c r="AC35" i="2"/>
  <c r="AH35" i="2"/>
  <c r="B124" i="10" l="1"/>
  <c r="A44" i="4"/>
  <c r="S43" i="4"/>
  <c r="D123" i="10"/>
  <c r="C123" i="10"/>
  <c r="E123" i="10"/>
  <c r="G123" i="10"/>
  <c r="K57" i="4"/>
  <c r="Z39" i="2"/>
  <c r="AA39" i="2" s="1"/>
  <c r="Y36" i="7"/>
  <c r="AH35" i="7"/>
  <c r="AC35" i="7"/>
  <c r="AB35" i="7"/>
  <c r="Z35" i="7"/>
  <c r="AA35" i="7" s="1"/>
  <c r="AG34" i="7"/>
  <c r="AD34" i="7"/>
  <c r="AF34" i="7"/>
  <c r="AD35" i="2"/>
  <c r="AG35" i="2"/>
  <c r="AF35" i="2"/>
  <c r="AC36" i="2"/>
  <c r="AB36" i="2"/>
  <c r="AH36" i="2"/>
  <c r="B125" i="10" l="1"/>
  <c r="A45" i="4"/>
  <c r="S44" i="4"/>
  <c r="C124" i="10"/>
  <c r="D124" i="10"/>
  <c r="E124" i="10"/>
  <c r="G124" i="10"/>
  <c r="K58" i="4"/>
  <c r="Z40" i="2"/>
  <c r="AA40" i="2" s="1"/>
  <c r="AE35" i="7"/>
  <c r="AF35" i="7"/>
  <c r="AC36" i="7"/>
  <c r="AB36" i="7"/>
  <c r="Z36" i="7"/>
  <c r="AA36" i="7" s="1"/>
  <c r="Y37" i="7"/>
  <c r="AH36" i="7"/>
  <c r="AG35" i="7"/>
  <c r="AD35" i="7"/>
  <c r="AE36" i="2"/>
  <c r="AF36" i="2"/>
  <c r="AG36" i="2"/>
  <c r="AD36" i="2"/>
  <c r="AE37" i="2"/>
  <c r="AB37" i="2"/>
  <c r="AC37" i="2"/>
  <c r="AH37" i="2"/>
  <c r="B126" i="10" l="1"/>
  <c r="A46" i="4"/>
  <c r="S45" i="4"/>
  <c r="C125" i="10"/>
  <c r="G125" i="10"/>
  <c r="D125" i="10"/>
  <c r="E125" i="10"/>
  <c r="K59" i="4"/>
  <c r="AE36" i="7"/>
  <c r="AF36" i="7"/>
  <c r="AD36" i="7"/>
  <c r="AG36" i="7"/>
  <c r="AB37" i="7"/>
  <c r="Y38" i="7"/>
  <c r="AH37" i="7"/>
  <c r="AC37" i="7"/>
  <c r="Z37" i="7"/>
  <c r="AA37" i="7" s="1"/>
  <c r="AG37" i="2"/>
  <c r="AD37" i="2"/>
  <c r="AF37" i="2"/>
  <c r="AE38" i="2"/>
  <c r="AB38" i="2"/>
  <c r="AC38" i="2"/>
  <c r="AH38" i="2"/>
  <c r="B127" i="10" l="1"/>
  <c r="A47" i="4"/>
  <c r="S46" i="4"/>
  <c r="E126" i="10"/>
  <c r="D126" i="10"/>
  <c r="C126" i="10"/>
  <c r="G126" i="10"/>
  <c r="K60" i="4"/>
  <c r="AE37" i="7"/>
  <c r="AF37" i="7"/>
  <c r="Z38" i="7"/>
  <c r="AA38" i="7" s="1"/>
  <c r="AE38" i="7" s="1"/>
  <c r="Y39" i="7"/>
  <c r="AH38" i="7"/>
  <c r="AC38" i="7"/>
  <c r="AB38" i="7"/>
  <c r="AG37" i="7"/>
  <c r="AD37" i="7"/>
  <c r="AC39" i="2"/>
  <c r="AH39" i="2"/>
  <c r="AB39" i="2"/>
  <c r="AE39" i="2"/>
  <c r="AG38" i="2"/>
  <c r="AD38" i="2"/>
  <c r="AF38" i="2"/>
  <c r="B128" i="10" l="1"/>
  <c r="S47" i="4"/>
  <c r="A48" i="4"/>
  <c r="D127" i="10"/>
  <c r="E127" i="10"/>
  <c r="G127" i="10"/>
  <c r="C127" i="10"/>
  <c r="K61" i="4"/>
  <c r="AF38" i="7"/>
  <c r="AG38" i="7"/>
  <c r="AD38" i="7"/>
  <c r="Z39" i="7"/>
  <c r="AA39" i="7" s="1"/>
  <c r="AC39" i="7"/>
  <c r="AB39" i="7"/>
  <c r="Y40" i="7"/>
  <c r="AH39" i="7"/>
  <c r="AG39" i="2"/>
  <c r="AD39" i="2"/>
  <c r="Z45" i="2"/>
  <c r="AH40" i="2"/>
  <c r="AH45" i="2" s="1"/>
  <c r="AB40" i="2"/>
  <c r="AC40" i="2"/>
  <c r="AC45" i="2" s="1"/>
  <c r="Z48" i="2" s="1"/>
  <c r="Y47" i="2"/>
  <c r="Y45" i="2"/>
  <c r="AF39" i="2"/>
  <c r="B129" i="10" l="1"/>
  <c r="A49" i="4"/>
  <c r="S48" i="4"/>
  <c r="E128" i="10"/>
  <c r="C128" i="10"/>
  <c r="D128" i="10"/>
  <c r="G128" i="10"/>
  <c r="K62" i="4"/>
  <c r="AF40" i="2"/>
  <c r="AF45" i="2" s="1"/>
  <c r="AC48" i="2" s="1"/>
  <c r="AE39" i="7"/>
  <c r="AF39" i="7"/>
  <c r="AD39" i="7"/>
  <c r="AG39" i="7"/>
  <c r="AH40" i="7"/>
  <c r="AH45" i="7" s="1"/>
  <c r="AC40" i="7"/>
  <c r="AC45" i="7" s="1"/>
  <c r="Z48" i="7" s="1"/>
  <c r="AB40" i="7"/>
  <c r="Z40" i="7"/>
  <c r="Z45" i="7" s="1"/>
  <c r="Y45" i="7"/>
  <c r="Y47" i="7"/>
  <c r="Z49" i="2"/>
  <c r="AA48" i="2"/>
  <c r="AE40" i="2"/>
  <c r="AE45" i="2" s="1"/>
  <c r="AE47" i="2" s="1"/>
  <c r="AA45" i="2"/>
  <c r="AC47" i="2" s="1"/>
  <c r="Y48" i="2"/>
  <c r="Z47" i="2"/>
  <c r="AD40" i="2"/>
  <c r="AD45" i="2" s="1"/>
  <c r="AA49" i="2" s="1"/>
  <c r="AG40" i="2"/>
  <c r="AG45" i="2" s="1"/>
  <c r="AC49" i="2" s="1"/>
  <c r="AB45" i="2"/>
  <c r="B130" i="10" l="1"/>
  <c r="A50" i="4"/>
  <c r="S49" i="4"/>
  <c r="C129" i="10"/>
  <c r="D129" i="10"/>
  <c r="G129" i="10"/>
  <c r="E129" i="10"/>
  <c r="K63" i="4"/>
  <c r="Y48" i="7"/>
  <c r="Z47" i="7"/>
  <c r="AD40" i="7"/>
  <c r="AD45" i="7" s="1"/>
  <c r="AA49" i="7" s="1"/>
  <c r="AB45" i="7"/>
  <c r="AA40" i="7"/>
  <c r="AA48" i="7"/>
  <c r="Z49" i="7"/>
  <c r="AA47" i="2"/>
  <c r="Y49" i="2"/>
  <c r="B131" i="10" l="1"/>
  <c r="S50" i="4"/>
  <c r="A51" i="4"/>
  <c r="C130" i="10"/>
  <c r="G130" i="10"/>
  <c r="D130" i="10"/>
  <c r="E130" i="10"/>
  <c r="K64" i="4"/>
  <c r="AE40" i="7"/>
  <c r="AE45" i="7" s="1"/>
  <c r="AE47" i="7" s="1"/>
  <c r="AA45" i="7"/>
  <c r="AC47" i="7" s="1"/>
  <c r="AF40" i="7"/>
  <c r="AF45" i="7" s="1"/>
  <c r="AC48" i="7" s="1"/>
  <c r="AG40" i="7"/>
  <c r="AG45" i="7" s="1"/>
  <c r="AC49" i="7" s="1"/>
  <c r="AA47" i="7"/>
  <c r="Y49" i="7"/>
  <c r="Y51" i="7" s="1"/>
  <c r="Y51" i="2"/>
  <c r="B132" i="10" l="1"/>
  <c r="A52" i="4"/>
  <c r="S51" i="4"/>
  <c r="C131" i="10"/>
  <c r="E131" i="10"/>
  <c r="D131" i="10"/>
  <c r="G131" i="10"/>
  <c r="K65" i="4"/>
  <c r="AA55" i="7"/>
  <c r="Y53" i="7"/>
  <c r="AA53" i="7"/>
  <c r="Y55" i="7" s="1"/>
  <c r="Z53" i="7"/>
  <c r="Y54" i="7" s="1"/>
  <c r="Z54" i="7"/>
  <c r="AA54" i="7"/>
  <c r="Z55" i="7" s="1"/>
  <c r="AA55" i="2"/>
  <c r="AA54" i="2"/>
  <c r="Z55" i="2" s="1"/>
  <c r="Y53" i="2"/>
  <c r="Z53" i="2"/>
  <c r="Y54" i="2" s="1"/>
  <c r="AA53" i="2"/>
  <c r="Y55" i="2" s="1"/>
  <c r="Z54" i="2"/>
  <c r="AD55" i="2" l="1"/>
  <c r="G13" i="2" s="1"/>
  <c r="B6" i="4" s="1"/>
  <c r="B133" i="10"/>
  <c r="S52" i="4"/>
  <c r="A53" i="4"/>
  <c r="E132" i="10"/>
  <c r="G132" i="10"/>
  <c r="C132" i="10"/>
  <c r="D132" i="10"/>
  <c r="K66" i="4"/>
  <c r="U21" i="2"/>
  <c r="AD54" i="7"/>
  <c r="AD55" i="7"/>
  <c r="G13" i="7" s="1"/>
  <c r="C6" i="4" s="1"/>
  <c r="AD53" i="7"/>
  <c r="AD54" i="2"/>
  <c r="AD53" i="2"/>
  <c r="B134" i="10" l="1"/>
  <c r="A54" i="4"/>
  <c r="S53" i="4"/>
  <c r="C133" i="10"/>
  <c r="E133" i="10"/>
  <c r="D133" i="10"/>
  <c r="G133" i="10"/>
  <c r="K67" i="4"/>
  <c r="U20" i="2"/>
  <c r="G12" i="2"/>
  <c r="B5" i="4" s="1"/>
  <c r="U11" i="2"/>
  <c r="G11" i="2"/>
  <c r="B4" i="4" s="1"/>
  <c r="U11" i="7"/>
  <c r="G11" i="7"/>
  <c r="C4" i="4" s="1"/>
  <c r="U21" i="7"/>
  <c r="U20" i="7"/>
  <c r="G12" i="7"/>
  <c r="C5" i="4" s="1"/>
  <c r="B135" i="10" l="1"/>
  <c r="A55" i="4"/>
  <c r="S54" i="4"/>
  <c r="C134" i="10"/>
  <c r="G134" i="10"/>
  <c r="D134" i="10"/>
  <c r="E134" i="10"/>
  <c r="B12" i="4"/>
  <c r="B13" i="4"/>
  <c r="B16" i="4"/>
  <c r="B18" i="4"/>
  <c r="B14" i="4"/>
  <c r="B15" i="4"/>
  <c r="B17" i="4"/>
  <c r="B19" i="4"/>
  <c r="B21" i="4"/>
  <c r="B20" i="4"/>
  <c r="B23" i="4"/>
  <c r="C23" i="4" s="1"/>
  <c r="B25" i="4"/>
  <c r="C25" i="4" s="1"/>
  <c r="B28" i="4"/>
  <c r="C28" i="4" s="1"/>
  <c r="B22" i="4"/>
  <c r="B31" i="4"/>
  <c r="C31" i="4" s="1"/>
  <c r="B29" i="4"/>
  <c r="C29" i="4" s="1"/>
  <c r="B24" i="4"/>
  <c r="B30" i="4"/>
  <c r="C30" i="4" s="1"/>
  <c r="B26" i="4"/>
  <c r="B27" i="4"/>
  <c r="B32" i="4"/>
  <c r="C32" i="4" s="1"/>
  <c r="K68" i="4"/>
  <c r="B50" i="4"/>
  <c r="B51" i="4"/>
  <c r="B33" i="4"/>
  <c r="D33" i="4" s="1"/>
  <c r="B39" i="4"/>
  <c r="D39" i="4" s="1"/>
  <c r="B52" i="4"/>
  <c r="B34" i="4"/>
  <c r="B37" i="4"/>
  <c r="B40" i="4"/>
  <c r="D40" i="4" s="1"/>
  <c r="B43" i="4"/>
  <c r="D43" i="4" s="1"/>
  <c r="B53" i="4"/>
  <c r="B35" i="4"/>
  <c r="B38" i="4"/>
  <c r="B41" i="4"/>
  <c r="D41" i="4" s="1"/>
  <c r="B45" i="4"/>
  <c r="D45" i="4" s="1"/>
  <c r="B54" i="4"/>
  <c r="B36" i="4"/>
  <c r="B55" i="4"/>
  <c r="B44" i="4"/>
  <c r="D44" i="4" s="1"/>
  <c r="B42" i="4"/>
  <c r="D42" i="4" s="1"/>
  <c r="B46" i="4"/>
  <c r="D46" i="4" s="1"/>
  <c r="B49" i="4"/>
  <c r="D49" i="4" s="1"/>
  <c r="B48" i="4"/>
  <c r="D48" i="4" s="1"/>
  <c r="B47" i="4"/>
  <c r="D47" i="4" s="1"/>
  <c r="L32" i="4" l="1"/>
  <c r="F113" i="10" s="1"/>
  <c r="B136" i="10"/>
  <c r="A56" i="4"/>
  <c r="S55" i="4"/>
  <c r="C135" i="10"/>
  <c r="E135" i="10"/>
  <c r="G135" i="10"/>
  <c r="D135" i="10"/>
  <c r="D18" i="4"/>
  <c r="L18" i="4"/>
  <c r="C16" i="4"/>
  <c r="D16" i="4"/>
  <c r="L16" i="4"/>
  <c r="D14" i="4"/>
  <c r="L14" i="4"/>
  <c r="L13" i="4"/>
  <c r="D13" i="4"/>
  <c r="C12" i="4"/>
  <c r="L12" i="4"/>
  <c r="N12" i="4" s="1"/>
  <c r="D12" i="4"/>
  <c r="C15" i="4"/>
  <c r="D15" i="4"/>
  <c r="L15" i="4"/>
  <c r="C13" i="4"/>
  <c r="C17" i="4"/>
  <c r="D17" i="4"/>
  <c r="L17" i="4"/>
  <c r="C18" i="4"/>
  <c r="C14" i="4"/>
  <c r="D32" i="4"/>
  <c r="G33" i="4" s="1"/>
  <c r="M23" i="4"/>
  <c r="O23" i="4" s="1"/>
  <c r="E23" i="4"/>
  <c r="L21" i="4"/>
  <c r="F102" i="10" s="1"/>
  <c r="D21" i="4"/>
  <c r="C19" i="4"/>
  <c r="D19" i="4"/>
  <c r="L19" i="4"/>
  <c r="D24" i="4"/>
  <c r="L24" i="4"/>
  <c r="F105" i="10" s="1"/>
  <c r="E30" i="4"/>
  <c r="M30" i="4"/>
  <c r="O30" i="4" s="1"/>
  <c r="E31" i="4"/>
  <c r="M31" i="4"/>
  <c r="O31" i="4" s="1"/>
  <c r="D29" i="4"/>
  <c r="L29" i="4"/>
  <c r="F110" i="10" s="1"/>
  <c r="E25" i="4"/>
  <c r="M25" i="4"/>
  <c r="O25" i="4" s="1"/>
  <c r="M29" i="4"/>
  <c r="O29" i="4" s="1"/>
  <c r="E29" i="4"/>
  <c r="L26" i="4"/>
  <c r="F107" i="10" s="1"/>
  <c r="D26" i="4"/>
  <c r="L27" i="4"/>
  <c r="F108" i="10" s="1"/>
  <c r="D27" i="4"/>
  <c r="G27" i="4" s="1"/>
  <c r="E28" i="4"/>
  <c r="M28" i="4"/>
  <c r="O28" i="4" s="1"/>
  <c r="C27" i="4"/>
  <c r="L22" i="4"/>
  <c r="F103" i="10" s="1"/>
  <c r="D22" i="4"/>
  <c r="C26" i="4"/>
  <c r="L23" i="4"/>
  <c r="F104" i="10" s="1"/>
  <c r="D23" i="4"/>
  <c r="D31" i="4"/>
  <c r="L31" i="4"/>
  <c r="F112" i="10" s="1"/>
  <c r="D28" i="4"/>
  <c r="L28" i="4"/>
  <c r="F109" i="10" s="1"/>
  <c r="C24" i="4"/>
  <c r="D20" i="4"/>
  <c r="L20" i="4"/>
  <c r="F101" i="10" s="1"/>
  <c r="C20" i="4"/>
  <c r="C21" i="4"/>
  <c r="L30" i="4"/>
  <c r="F111" i="10" s="1"/>
  <c r="D30" i="4"/>
  <c r="D25" i="4"/>
  <c r="L25" i="4"/>
  <c r="F106" i="10" s="1"/>
  <c r="C22" i="4"/>
  <c r="M32" i="4"/>
  <c r="O32" i="4" s="1"/>
  <c r="E32" i="4"/>
  <c r="N32" i="4"/>
  <c r="G45" i="4"/>
  <c r="G48" i="4"/>
  <c r="G41" i="4"/>
  <c r="L33" i="4"/>
  <c r="F114" i="10" s="1"/>
  <c r="G44" i="4"/>
  <c r="K69" i="4"/>
  <c r="C41" i="4"/>
  <c r="G49" i="4"/>
  <c r="G46" i="4"/>
  <c r="G43" i="4"/>
  <c r="G47" i="4"/>
  <c r="G40" i="4"/>
  <c r="G42" i="4"/>
  <c r="C42" i="4"/>
  <c r="C39" i="4"/>
  <c r="C33" i="4"/>
  <c r="C46" i="4"/>
  <c r="C54" i="4"/>
  <c r="D54" i="4"/>
  <c r="C55" i="4"/>
  <c r="D55" i="4"/>
  <c r="C45" i="4"/>
  <c r="C49" i="4"/>
  <c r="C47" i="4"/>
  <c r="C35" i="4"/>
  <c r="D35" i="4"/>
  <c r="C40" i="4"/>
  <c r="C48" i="4"/>
  <c r="C34" i="4"/>
  <c r="D34" i="4"/>
  <c r="G34" i="4" s="1"/>
  <c r="C38" i="4"/>
  <c r="D38" i="4"/>
  <c r="C50" i="4"/>
  <c r="D50" i="4"/>
  <c r="G50" i="4" s="1"/>
  <c r="C37" i="4"/>
  <c r="D37" i="4"/>
  <c r="C53" i="4"/>
  <c r="D53" i="4"/>
  <c r="C44" i="4"/>
  <c r="C36" i="4"/>
  <c r="D36" i="4"/>
  <c r="C51" i="4"/>
  <c r="D51" i="4"/>
  <c r="C52" i="4"/>
  <c r="D52" i="4"/>
  <c r="C43" i="4"/>
  <c r="H31" i="4" l="1"/>
  <c r="G32" i="4"/>
  <c r="H30" i="4"/>
  <c r="F32" i="4"/>
  <c r="H32" i="4"/>
  <c r="F28" i="4"/>
  <c r="G15" i="4"/>
  <c r="G19" i="4"/>
  <c r="B137" i="10"/>
  <c r="S56" i="4"/>
  <c r="A57" i="4"/>
  <c r="B56" i="4"/>
  <c r="H29" i="4"/>
  <c r="C136" i="10"/>
  <c r="E136" i="10"/>
  <c r="G136" i="10"/>
  <c r="D136" i="10"/>
  <c r="N15" i="4"/>
  <c r="G14" i="4"/>
  <c r="G13" i="4"/>
  <c r="N13" i="4"/>
  <c r="E13" i="4"/>
  <c r="M13" i="4"/>
  <c r="O13" i="4" s="1"/>
  <c r="P13" i="4" s="1"/>
  <c r="N14" i="4"/>
  <c r="E14" i="4"/>
  <c r="M14" i="4"/>
  <c r="O14" i="4" s="1"/>
  <c r="N16" i="4"/>
  <c r="R16" i="4"/>
  <c r="E18" i="4"/>
  <c r="M18" i="4"/>
  <c r="O18" i="4" s="1"/>
  <c r="G16" i="4"/>
  <c r="G22" i="4"/>
  <c r="F31" i="4"/>
  <c r="N17" i="4"/>
  <c r="E16" i="4"/>
  <c r="M16" i="4"/>
  <c r="O16" i="4" s="1"/>
  <c r="E12" i="4"/>
  <c r="F12" i="4" s="1"/>
  <c r="M12" i="4"/>
  <c r="O12" i="4" s="1"/>
  <c r="P12" i="4" s="1"/>
  <c r="G25" i="4"/>
  <c r="G17" i="4"/>
  <c r="N18" i="4"/>
  <c r="E15" i="4"/>
  <c r="M15" i="4"/>
  <c r="O15" i="4" s="1"/>
  <c r="E17" i="4"/>
  <c r="M17" i="4"/>
  <c r="O17" i="4" s="1"/>
  <c r="G18" i="4"/>
  <c r="F100" i="10"/>
  <c r="P32" i="4"/>
  <c r="G29" i="4"/>
  <c r="F25" i="4"/>
  <c r="G20" i="4"/>
  <c r="G23" i="4"/>
  <c r="N19" i="4"/>
  <c r="G30" i="4"/>
  <c r="G24" i="4"/>
  <c r="M22" i="4"/>
  <c r="O22" i="4" s="1"/>
  <c r="E22" i="4"/>
  <c r="H23" i="4" s="1"/>
  <c r="N25" i="4"/>
  <c r="P25" i="4" s="1"/>
  <c r="R25" i="4"/>
  <c r="N22" i="4"/>
  <c r="R30" i="4"/>
  <c r="N30" i="4"/>
  <c r="P30" i="4" s="1"/>
  <c r="E21" i="4"/>
  <c r="M21" i="4"/>
  <c r="O21" i="4" s="1"/>
  <c r="M26" i="4"/>
  <c r="O26" i="4" s="1"/>
  <c r="E26" i="4"/>
  <c r="F30" i="4"/>
  <c r="M20" i="4"/>
  <c r="O20" i="4" s="1"/>
  <c r="E20" i="4"/>
  <c r="G26" i="4"/>
  <c r="E19" i="4"/>
  <c r="M19" i="4"/>
  <c r="O19" i="4" s="1"/>
  <c r="P19" i="4" s="1"/>
  <c r="M27" i="4"/>
  <c r="O27" i="4" s="1"/>
  <c r="E27" i="4"/>
  <c r="H28" i="4" s="1"/>
  <c r="N28" i="4"/>
  <c r="P28" i="4" s="1"/>
  <c r="R28" i="4"/>
  <c r="N26" i="4"/>
  <c r="G21" i="4"/>
  <c r="N23" i="4"/>
  <c r="P23" i="4" s="1"/>
  <c r="R23" i="4"/>
  <c r="G28" i="4"/>
  <c r="F29" i="4"/>
  <c r="N21" i="4"/>
  <c r="N20" i="4"/>
  <c r="R20" i="4"/>
  <c r="M24" i="4"/>
  <c r="O24" i="4" s="1"/>
  <c r="E24" i="4"/>
  <c r="H25" i="4" s="1"/>
  <c r="R32" i="4"/>
  <c r="N31" i="4"/>
  <c r="P31" i="4" s="1"/>
  <c r="R31" i="4"/>
  <c r="F23" i="4"/>
  <c r="N29" i="4"/>
  <c r="P29" i="4" s="1"/>
  <c r="R29" i="4"/>
  <c r="N24" i="4"/>
  <c r="N27" i="4"/>
  <c r="G31" i="4"/>
  <c r="E41" i="4"/>
  <c r="M41" i="4"/>
  <c r="E34" i="4"/>
  <c r="M34" i="4"/>
  <c r="E40" i="4"/>
  <c r="M40" i="4"/>
  <c r="E48" i="4"/>
  <c r="M48" i="4"/>
  <c r="E42" i="4"/>
  <c r="M42" i="4"/>
  <c r="E33" i="4"/>
  <c r="M33" i="4"/>
  <c r="E55" i="4"/>
  <c r="M55" i="4"/>
  <c r="E53" i="4"/>
  <c r="M53" i="4"/>
  <c r="E52" i="4"/>
  <c r="M52" i="4"/>
  <c r="E51" i="4"/>
  <c r="M51" i="4"/>
  <c r="E37" i="4"/>
  <c r="M37" i="4"/>
  <c r="E50" i="4"/>
  <c r="M50" i="4"/>
  <c r="E39" i="4"/>
  <c r="M39" i="4"/>
  <c r="E54" i="4"/>
  <c r="M54" i="4"/>
  <c r="E49" i="4"/>
  <c r="M49" i="4"/>
  <c r="E36" i="4"/>
  <c r="M36" i="4"/>
  <c r="E46" i="4"/>
  <c r="M46" i="4"/>
  <c r="N33" i="4"/>
  <c r="L34" i="4"/>
  <c r="F115" i="10" s="1"/>
  <c r="E35" i="4"/>
  <c r="M35" i="4"/>
  <c r="E47" i="4"/>
  <c r="M47" i="4"/>
  <c r="E43" i="4"/>
  <c r="M43" i="4"/>
  <c r="E44" i="4"/>
  <c r="M44" i="4"/>
  <c r="E38" i="4"/>
  <c r="M38" i="4"/>
  <c r="E45" i="4"/>
  <c r="M45" i="4"/>
  <c r="K70" i="4"/>
  <c r="G51" i="4"/>
  <c r="G36" i="4"/>
  <c r="G38" i="4"/>
  <c r="G55" i="4"/>
  <c r="G39" i="4"/>
  <c r="G52" i="4"/>
  <c r="G53" i="4"/>
  <c r="G37" i="4"/>
  <c r="G35" i="4"/>
  <c r="G54" i="4"/>
  <c r="D56" i="4" l="1"/>
  <c r="G56" i="4" s="1"/>
  <c r="C56" i="4"/>
  <c r="B138" i="10"/>
  <c r="S57" i="4"/>
  <c r="A58" i="4"/>
  <c r="B57" i="4"/>
  <c r="F40" i="4"/>
  <c r="H40" i="4"/>
  <c r="F21" i="4"/>
  <c r="I22" i="4" s="1"/>
  <c r="H21" i="4"/>
  <c r="F39" i="4"/>
  <c r="I39" i="4" s="1"/>
  <c r="H39" i="4"/>
  <c r="F36" i="4"/>
  <c r="I37" i="4" s="1"/>
  <c r="H36" i="4"/>
  <c r="D137" i="10"/>
  <c r="E137" i="10"/>
  <c r="C137" i="10"/>
  <c r="G137" i="10"/>
  <c r="F51" i="4"/>
  <c r="H51" i="4"/>
  <c r="F52" i="4"/>
  <c r="H52" i="4"/>
  <c r="F34" i="4"/>
  <c r="I34" i="4" s="1"/>
  <c r="H34" i="4"/>
  <c r="F48" i="4"/>
  <c r="I48" i="4" s="1"/>
  <c r="H48" i="4"/>
  <c r="F17" i="4"/>
  <c r="I17" i="4" s="1"/>
  <c r="H17" i="4"/>
  <c r="P27" i="4"/>
  <c r="Q28" i="4" s="1"/>
  <c r="F53" i="4"/>
  <c r="I53" i="4" s="1"/>
  <c r="H53" i="4"/>
  <c r="F46" i="4"/>
  <c r="I46" i="4" s="1"/>
  <c r="H46" i="4"/>
  <c r="F38" i="4"/>
  <c r="H38" i="4"/>
  <c r="F22" i="4"/>
  <c r="H22" i="4"/>
  <c r="F13" i="4"/>
  <c r="H13" i="4"/>
  <c r="F18" i="4"/>
  <c r="H18" i="4"/>
  <c r="F27" i="4"/>
  <c r="I28" i="4" s="1"/>
  <c r="H27" i="4"/>
  <c r="F24" i="4"/>
  <c r="I25" i="4" s="1"/>
  <c r="H24" i="4"/>
  <c r="F49" i="4"/>
  <c r="I49" i="4" s="1"/>
  <c r="H49" i="4"/>
  <c r="F43" i="4"/>
  <c r="I43" i="4" s="1"/>
  <c r="H43" i="4"/>
  <c r="F37" i="4"/>
  <c r="H37" i="4"/>
  <c r="F33" i="4"/>
  <c r="H33" i="4"/>
  <c r="F26" i="4"/>
  <c r="I26" i="4" s="1"/>
  <c r="H26" i="4"/>
  <c r="F16" i="4"/>
  <c r="H16" i="4"/>
  <c r="F45" i="4"/>
  <c r="H45" i="4"/>
  <c r="F15" i="4"/>
  <c r="I15" i="4" s="1"/>
  <c r="H15" i="4"/>
  <c r="F44" i="4"/>
  <c r="H44" i="4"/>
  <c r="F50" i="4"/>
  <c r="I50" i="4" s="1"/>
  <c r="H50" i="4"/>
  <c r="F41" i="4"/>
  <c r="H41" i="4"/>
  <c r="F47" i="4"/>
  <c r="H47" i="4"/>
  <c r="F14" i="4"/>
  <c r="H14" i="4"/>
  <c r="F19" i="4"/>
  <c r="H19" i="4"/>
  <c r="F20" i="4"/>
  <c r="I20" i="4" s="1"/>
  <c r="H20" i="4"/>
  <c r="F55" i="4"/>
  <c r="H55" i="4"/>
  <c r="F35" i="4"/>
  <c r="I35" i="4" s="1"/>
  <c r="H35" i="4"/>
  <c r="F54" i="4"/>
  <c r="I54" i="4" s="1"/>
  <c r="H54" i="4"/>
  <c r="F42" i="4"/>
  <c r="H42" i="4"/>
  <c r="I31" i="4"/>
  <c r="I32" i="4"/>
  <c r="R17" i="4"/>
  <c r="P14" i="4"/>
  <c r="Q14" i="4" s="1"/>
  <c r="P18" i="4"/>
  <c r="R14" i="4"/>
  <c r="Q13" i="4"/>
  <c r="Q19" i="4"/>
  <c r="P16" i="4"/>
  <c r="Q16" i="4" s="1"/>
  <c r="I14" i="4"/>
  <c r="I13" i="4"/>
  <c r="R18" i="4"/>
  <c r="R13" i="4"/>
  <c r="R22" i="4"/>
  <c r="P17" i="4"/>
  <c r="P15" i="4"/>
  <c r="R15" i="4"/>
  <c r="Q29" i="4"/>
  <c r="R19" i="4"/>
  <c r="P24" i="4"/>
  <c r="Q25" i="4" s="1"/>
  <c r="Q24" i="4"/>
  <c r="P21" i="4"/>
  <c r="R27" i="4"/>
  <c r="Q30" i="4"/>
  <c r="Q31" i="4"/>
  <c r="P20" i="4"/>
  <c r="Q20" i="4" s="1"/>
  <c r="I23" i="4"/>
  <c r="P22" i="4"/>
  <c r="Q23" i="4" s="1"/>
  <c r="I29" i="4"/>
  <c r="P26" i="4"/>
  <c r="Q26" i="4" s="1"/>
  <c r="R24" i="4"/>
  <c r="R21" i="4"/>
  <c r="I30" i="4"/>
  <c r="R26" i="4"/>
  <c r="Q32" i="4"/>
  <c r="I38" i="4"/>
  <c r="O40" i="4"/>
  <c r="O52" i="4"/>
  <c r="I52" i="4"/>
  <c r="O49" i="4"/>
  <c r="O44" i="4"/>
  <c r="O43" i="4"/>
  <c r="O34" i="4"/>
  <c r="R34" i="4"/>
  <c r="O41" i="4"/>
  <c r="O47" i="4"/>
  <c r="O50" i="4"/>
  <c r="O53" i="4"/>
  <c r="O35" i="4"/>
  <c r="I33" i="4"/>
  <c r="I42" i="4"/>
  <c r="O36" i="4"/>
  <c r="O55" i="4"/>
  <c r="O33" i="4"/>
  <c r="P33" i="4" s="1"/>
  <c r="R33" i="4"/>
  <c r="O54" i="4"/>
  <c r="O42" i="4"/>
  <c r="O48" i="4"/>
  <c r="O37" i="4"/>
  <c r="O45" i="4"/>
  <c r="O39" i="4"/>
  <c r="O38" i="4"/>
  <c r="O46" i="4"/>
  <c r="O51" i="4"/>
  <c r="N34" i="4"/>
  <c r="L35" i="4"/>
  <c r="F116" i="10" s="1"/>
  <c r="K71" i="4"/>
  <c r="I19" i="4" l="1"/>
  <c r="I45" i="4"/>
  <c r="I41" i="4"/>
  <c r="I44" i="4"/>
  <c r="I55" i="4"/>
  <c r="I40" i="4"/>
  <c r="I24" i="4"/>
  <c r="I16" i="4"/>
  <c r="Q15" i="4"/>
  <c r="I18" i="4"/>
  <c r="Q27" i="4"/>
  <c r="I47" i="4"/>
  <c r="I21" i="4"/>
  <c r="D57" i="4"/>
  <c r="G57" i="4" s="1"/>
  <c r="C57" i="4"/>
  <c r="I27" i="4"/>
  <c r="B139" i="10"/>
  <c r="A59" i="4"/>
  <c r="S58" i="4"/>
  <c r="B58" i="4"/>
  <c r="I51" i="4"/>
  <c r="C138" i="10"/>
  <c r="D138" i="10"/>
  <c r="E138" i="10"/>
  <c r="G138" i="10"/>
  <c r="I36" i="4"/>
  <c r="M56" i="4"/>
  <c r="O56" i="4" s="1"/>
  <c r="E56" i="4"/>
  <c r="Q17" i="4"/>
  <c r="Q18" i="4"/>
  <c r="Q22" i="4"/>
  <c r="R35" i="4"/>
  <c r="Q21" i="4"/>
  <c r="Q33" i="4"/>
  <c r="P34" i="4"/>
  <c r="Q34" i="4" s="1"/>
  <c r="L36" i="4"/>
  <c r="F117" i="10" s="1"/>
  <c r="N35" i="4"/>
  <c r="P35" i="4" s="1"/>
  <c r="K72" i="4"/>
  <c r="F56" i="4" l="1"/>
  <c r="I56" i="4" s="1"/>
  <c r="H56" i="4"/>
  <c r="B140" i="10"/>
  <c r="S59" i="4"/>
  <c r="A60" i="4"/>
  <c r="B59" i="4"/>
  <c r="E57" i="4"/>
  <c r="M57" i="4"/>
  <c r="O57" i="4" s="1"/>
  <c r="D58" i="4"/>
  <c r="G58" i="4" s="1"/>
  <c r="C58" i="4"/>
  <c r="D139" i="10"/>
  <c r="E139" i="10"/>
  <c r="G139" i="10"/>
  <c r="C139" i="10"/>
  <c r="R36" i="4"/>
  <c r="Q35" i="4"/>
  <c r="L37" i="4"/>
  <c r="F118" i="10" s="1"/>
  <c r="N36" i="4"/>
  <c r="P36" i="4" s="1"/>
  <c r="Q36" i="4" s="1"/>
  <c r="K73" i="4"/>
  <c r="D59" i="4" l="1"/>
  <c r="G59" i="4" s="1"/>
  <c r="C59" i="4"/>
  <c r="B141" i="10"/>
  <c r="S60" i="4"/>
  <c r="A61" i="4"/>
  <c r="B60" i="4"/>
  <c r="M58" i="4"/>
  <c r="O58" i="4" s="1"/>
  <c r="E58" i="4"/>
  <c r="F57" i="4"/>
  <c r="I57" i="4" s="1"/>
  <c r="H57" i="4"/>
  <c r="C140" i="10"/>
  <c r="G140" i="10"/>
  <c r="E140" i="10"/>
  <c r="D140" i="10"/>
  <c r="R37" i="4"/>
  <c r="N37" i="4"/>
  <c r="P37" i="4" s="1"/>
  <c r="Q37" i="4" s="1"/>
  <c r="L38" i="4"/>
  <c r="F119" i="10" s="1"/>
  <c r="K74" i="4"/>
  <c r="B142" i="10" l="1"/>
  <c r="A62" i="4"/>
  <c r="S61" i="4"/>
  <c r="B61" i="4"/>
  <c r="D60" i="4"/>
  <c r="G60" i="4" s="1"/>
  <c r="C60" i="4"/>
  <c r="E59" i="4"/>
  <c r="M59" i="4"/>
  <c r="O59" i="4" s="1"/>
  <c r="F58" i="4"/>
  <c r="I58" i="4" s="1"/>
  <c r="H58" i="4"/>
  <c r="C141" i="10"/>
  <c r="D141" i="10"/>
  <c r="E141" i="10"/>
  <c r="G141" i="10"/>
  <c r="R38" i="4"/>
  <c r="N38" i="4"/>
  <c r="P38" i="4" s="1"/>
  <c r="Q38" i="4" s="1"/>
  <c r="L39" i="4"/>
  <c r="F120" i="10" s="1"/>
  <c r="K75" i="4"/>
  <c r="E60" i="4" l="1"/>
  <c r="M60" i="4"/>
  <c r="O60" i="4" s="1"/>
  <c r="B143" i="10"/>
  <c r="A63" i="4"/>
  <c r="S62" i="4"/>
  <c r="B62" i="4"/>
  <c r="F59" i="4"/>
  <c r="I59" i="4" s="1"/>
  <c r="H59" i="4"/>
  <c r="D61" i="4"/>
  <c r="G61" i="4" s="1"/>
  <c r="C61" i="4"/>
  <c r="E142" i="10"/>
  <c r="C142" i="10"/>
  <c r="G142" i="10"/>
  <c r="D142" i="10"/>
  <c r="R39" i="4"/>
  <c r="L40" i="4"/>
  <c r="F121" i="10" s="1"/>
  <c r="N39" i="4"/>
  <c r="P39" i="4" s="1"/>
  <c r="Q39" i="4" s="1"/>
  <c r="K76" i="4"/>
  <c r="E61" i="4" l="1"/>
  <c r="M61" i="4"/>
  <c r="O61" i="4" s="1"/>
  <c r="D62" i="4"/>
  <c r="G62" i="4" s="1"/>
  <c r="C62" i="4"/>
  <c r="B144" i="10"/>
  <c r="A64" i="4"/>
  <c r="S63" i="4"/>
  <c r="B63" i="4"/>
  <c r="D143" i="10"/>
  <c r="G143" i="10"/>
  <c r="C143" i="10"/>
  <c r="E143" i="10"/>
  <c r="F60" i="4"/>
  <c r="I60" i="4" s="1"/>
  <c r="H60" i="4"/>
  <c r="R40" i="4"/>
  <c r="L41" i="4"/>
  <c r="F122" i="10" s="1"/>
  <c r="N40" i="4"/>
  <c r="P40" i="4" s="1"/>
  <c r="Q40" i="4" s="1"/>
  <c r="K77" i="4"/>
  <c r="E144" i="10" l="1"/>
  <c r="D144" i="10"/>
  <c r="C144" i="10"/>
  <c r="G144" i="10"/>
  <c r="D63" i="4"/>
  <c r="G63" i="4" s="1"/>
  <c r="C63" i="4"/>
  <c r="B145" i="10"/>
  <c r="A65" i="4"/>
  <c r="S64" i="4"/>
  <c r="B64" i="4"/>
  <c r="M62" i="4"/>
  <c r="O62" i="4" s="1"/>
  <c r="E62" i="4"/>
  <c r="F61" i="4"/>
  <c r="I61" i="4" s="1"/>
  <c r="H61" i="4"/>
  <c r="R41" i="4"/>
  <c r="L42" i="4"/>
  <c r="F123" i="10" s="1"/>
  <c r="N41" i="4"/>
  <c r="P41" i="4" s="1"/>
  <c r="Q41" i="4" s="1"/>
  <c r="K78" i="4"/>
  <c r="B146" i="10" l="1"/>
  <c r="A66" i="4"/>
  <c r="S65" i="4"/>
  <c r="B65" i="4"/>
  <c r="D64" i="4"/>
  <c r="G64" i="4" s="1"/>
  <c r="C64" i="4"/>
  <c r="C145" i="10"/>
  <c r="D145" i="10"/>
  <c r="E145" i="10"/>
  <c r="G145" i="10"/>
  <c r="E63" i="4"/>
  <c r="M63" i="4"/>
  <c r="O63" i="4" s="1"/>
  <c r="F62" i="4"/>
  <c r="I62" i="4" s="1"/>
  <c r="H62" i="4"/>
  <c r="R42" i="4"/>
  <c r="L43" i="4"/>
  <c r="F124" i="10" s="1"/>
  <c r="N42" i="4"/>
  <c r="P42" i="4" s="1"/>
  <c r="Q42" i="4" s="1"/>
  <c r="K79" i="4"/>
  <c r="M64" i="4" l="1"/>
  <c r="O64" i="4" s="1"/>
  <c r="E64" i="4"/>
  <c r="B147" i="10"/>
  <c r="B66" i="4"/>
  <c r="S66" i="4"/>
  <c r="A67" i="4"/>
  <c r="F63" i="4"/>
  <c r="I63" i="4" s="1"/>
  <c r="H63" i="4"/>
  <c r="D65" i="4"/>
  <c r="G65" i="4" s="1"/>
  <c r="C65" i="4"/>
  <c r="C146" i="10"/>
  <c r="G146" i="10"/>
  <c r="E146" i="10"/>
  <c r="D146" i="10"/>
  <c r="R43" i="4"/>
  <c r="L44" i="4"/>
  <c r="F125" i="10" s="1"/>
  <c r="N43" i="4"/>
  <c r="P43" i="4" s="1"/>
  <c r="Q43" i="4" s="1"/>
  <c r="K80" i="4"/>
  <c r="E65" i="4" l="1"/>
  <c r="M65" i="4"/>
  <c r="O65" i="4" s="1"/>
  <c r="F64" i="4"/>
  <c r="I64" i="4" s="1"/>
  <c r="H64" i="4"/>
  <c r="B148" i="10"/>
  <c r="S67" i="4"/>
  <c r="A68" i="4"/>
  <c r="B67" i="4"/>
  <c r="C66" i="4"/>
  <c r="D66" i="4"/>
  <c r="G66" i="4" s="1"/>
  <c r="C147" i="10"/>
  <c r="E147" i="10"/>
  <c r="D147" i="10"/>
  <c r="G147" i="10"/>
  <c r="R44" i="4"/>
  <c r="N44" i="4"/>
  <c r="P44" i="4" s="1"/>
  <c r="Q44" i="4" s="1"/>
  <c r="L45" i="4"/>
  <c r="F126" i="10" s="1"/>
  <c r="K81" i="4"/>
  <c r="E66" i="4" l="1"/>
  <c r="M66" i="4"/>
  <c r="O66" i="4" s="1"/>
  <c r="C67" i="4"/>
  <c r="D67" i="4"/>
  <c r="G67" i="4" s="1"/>
  <c r="B149" i="10"/>
  <c r="B68" i="4"/>
  <c r="A69" i="4"/>
  <c r="S68" i="4"/>
  <c r="E148" i="10"/>
  <c r="D148" i="10"/>
  <c r="G148" i="10"/>
  <c r="C148" i="10"/>
  <c r="F65" i="4"/>
  <c r="I65" i="4" s="1"/>
  <c r="H65" i="4"/>
  <c r="R45" i="4"/>
  <c r="N45" i="4"/>
  <c r="P45" i="4" s="1"/>
  <c r="Q45" i="4" s="1"/>
  <c r="L46" i="4"/>
  <c r="F127" i="10" s="1"/>
  <c r="K82" i="4"/>
  <c r="D68" i="4" l="1"/>
  <c r="G68" i="4" s="1"/>
  <c r="C68" i="4"/>
  <c r="B150" i="10"/>
  <c r="S69" i="4"/>
  <c r="A70" i="4"/>
  <c r="B69" i="4"/>
  <c r="C149" i="10"/>
  <c r="D149" i="10"/>
  <c r="G149" i="10"/>
  <c r="E149" i="10"/>
  <c r="E67" i="4"/>
  <c r="M67" i="4"/>
  <c r="O67" i="4" s="1"/>
  <c r="F66" i="4"/>
  <c r="I66" i="4" s="1"/>
  <c r="H66" i="4"/>
  <c r="R46" i="4"/>
  <c r="N46" i="4"/>
  <c r="P46" i="4" s="1"/>
  <c r="Q46" i="4" s="1"/>
  <c r="L47" i="4"/>
  <c r="F128" i="10" s="1"/>
  <c r="F67" i="4" l="1"/>
  <c r="I67" i="4" s="1"/>
  <c r="H67" i="4"/>
  <c r="D69" i="4"/>
  <c r="G69" i="4" s="1"/>
  <c r="C69" i="4"/>
  <c r="E68" i="4"/>
  <c r="M68" i="4"/>
  <c r="O68" i="4" s="1"/>
  <c r="B151" i="10"/>
  <c r="B70" i="4"/>
  <c r="A71" i="4"/>
  <c r="S70" i="4"/>
  <c r="C150" i="10"/>
  <c r="E150" i="10"/>
  <c r="G150" i="10"/>
  <c r="D150" i="10"/>
  <c r="R47" i="4"/>
  <c r="N47" i="4"/>
  <c r="P47" i="4" s="1"/>
  <c r="Q47" i="4" s="1"/>
  <c r="L48" i="4"/>
  <c r="F129" i="10" s="1"/>
  <c r="C70" i="4" l="1"/>
  <c r="D70" i="4"/>
  <c r="G70" i="4" s="1"/>
  <c r="F68" i="4"/>
  <c r="I68" i="4" s="1"/>
  <c r="H68" i="4"/>
  <c r="B152" i="10"/>
  <c r="A72" i="4"/>
  <c r="S71" i="4"/>
  <c r="B71" i="4"/>
  <c r="C151" i="10"/>
  <c r="E151" i="10"/>
  <c r="D151" i="10"/>
  <c r="G151" i="10"/>
  <c r="E69" i="4"/>
  <c r="M69" i="4"/>
  <c r="O69" i="4" s="1"/>
  <c r="R48" i="4"/>
  <c r="L49" i="4"/>
  <c r="F130" i="10" s="1"/>
  <c r="N48" i="4"/>
  <c r="P48" i="4" s="1"/>
  <c r="Q48" i="4" s="1"/>
  <c r="B153" i="10" l="1"/>
  <c r="A73" i="4"/>
  <c r="S72" i="4"/>
  <c r="B72" i="4"/>
  <c r="F69" i="4"/>
  <c r="I69" i="4" s="1"/>
  <c r="H69" i="4"/>
  <c r="D71" i="4"/>
  <c r="G71" i="4" s="1"/>
  <c r="C71" i="4"/>
  <c r="C152" i="10"/>
  <c r="E152" i="10"/>
  <c r="D152" i="10"/>
  <c r="G152" i="10"/>
  <c r="E70" i="4"/>
  <c r="M70" i="4"/>
  <c r="O70" i="4" s="1"/>
  <c r="R49" i="4"/>
  <c r="L50" i="4"/>
  <c r="F131" i="10" s="1"/>
  <c r="N49" i="4"/>
  <c r="P49" i="4" s="1"/>
  <c r="M71" i="4" l="1"/>
  <c r="O71" i="4" s="1"/>
  <c r="E71" i="4"/>
  <c r="D72" i="4"/>
  <c r="G72" i="4" s="1"/>
  <c r="C72" i="4"/>
  <c r="B154" i="10"/>
  <c r="A74" i="4"/>
  <c r="S73" i="4"/>
  <c r="B73" i="4"/>
  <c r="F70" i="4"/>
  <c r="I70" i="4" s="1"/>
  <c r="H70" i="4"/>
  <c r="D153" i="10"/>
  <c r="G153" i="10"/>
  <c r="C153" i="10"/>
  <c r="E153" i="10"/>
  <c r="R50" i="4"/>
  <c r="Q49" i="4"/>
  <c r="L51" i="4"/>
  <c r="F132" i="10" s="1"/>
  <c r="N50" i="4"/>
  <c r="P50" i="4" s="1"/>
  <c r="Q50" i="4" s="1"/>
  <c r="D73" i="4" l="1"/>
  <c r="G73" i="4" s="1"/>
  <c r="C73" i="4"/>
  <c r="B155" i="10"/>
  <c r="A75" i="4"/>
  <c r="S74" i="4"/>
  <c r="B74" i="4"/>
  <c r="E154" i="10"/>
  <c r="D154" i="10"/>
  <c r="C154" i="10"/>
  <c r="G154" i="10"/>
  <c r="F71" i="4"/>
  <c r="I71" i="4" s="1"/>
  <c r="H71" i="4"/>
  <c r="M72" i="4"/>
  <c r="O72" i="4" s="1"/>
  <c r="E72" i="4"/>
  <c r="R51" i="4"/>
  <c r="L52" i="4"/>
  <c r="F133" i="10" s="1"/>
  <c r="N51" i="4"/>
  <c r="P51" i="4" s="1"/>
  <c r="M73" i="4" l="1"/>
  <c r="O73" i="4" s="1"/>
  <c r="E73" i="4"/>
  <c r="F72" i="4"/>
  <c r="I72" i="4" s="1"/>
  <c r="H72" i="4"/>
  <c r="C74" i="4"/>
  <c r="D74" i="4"/>
  <c r="G74" i="4" s="1"/>
  <c r="B156" i="10"/>
  <c r="A76" i="4"/>
  <c r="S75" i="4"/>
  <c r="B75" i="4"/>
  <c r="D155" i="10"/>
  <c r="E155" i="10"/>
  <c r="C155" i="10"/>
  <c r="G155" i="10"/>
  <c r="R52" i="4"/>
  <c r="Q51" i="4"/>
  <c r="L53" i="4"/>
  <c r="F134" i="10" s="1"/>
  <c r="N52" i="4"/>
  <c r="P52" i="4" s="1"/>
  <c r="Q52" i="4" s="1"/>
  <c r="C75" i="4" l="1"/>
  <c r="D75" i="4"/>
  <c r="G75" i="4" s="1"/>
  <c r="B157" i="10"/>
  <c r="A77" i="4"/>
  <c r="B76" i="4"/>
  <c r="S76" i="4"/>
  <c r="F73" i="4"/>
  <c r="I73" i="4" s="1"/>
  <c r="H73" i="4"/>
  <c r="C156" i="10"/>
  <c r="E156" i="10"/>
  <c r="D156" i="10"/>
  <c r="G156" i="10"/>
  <c r="E74" i="4"/>
  <c r="M74" i="4"/>
  <c r="O74" i="4" s="1"/>
  <c r="R53" i="4"/>
  <c r="L54" i="4"/>
  <c r="F135" i="10" s="1"/>
  <c r="N53" i="4"/>
  <c r="P53" i="4" s="1"/>
  <c r="Q53" i="4" s="1"/>
  <c r="F74" i="4" l="1"/>
  <c r="I74" i="4" s="1"/>
  <c r="H74" i="4"/>
  <c r="B158" i="10"/>
  <c r="A78" i="4"/>
  <c r="S77" i="4"/>
  <c r="B77" i="4"/>
  <c r="C76" i="4"/>
  <c r="D76" i="4"/>
  <c r="G76" i="4" s="1"/>
  <c r="C157" i="10"/>
  <c r="E157" i="10"/>
  <c r="G157" i="10"/>
  <c r="D157" i="10"/>
  <c r="E75" i="4"/>
  <c r="M75" i="4"/>
  <c r="O75" i="4" s="1"/>
  <c r="R54" i="4"/>
  <c r="L55" i="4"/>
  <c r="F136" i="10" s="1"/>
  <c r="N54" i="4"/>
  <c r="P54" i="4" s="1"/>
  <c r="F75" i="4" l="1"/>
  <c r="I75" i="4" s="1"/>
  <c r="H75" i="4"/>
  <c r="D77" i="4"/>
  <c r="G77" i="4" s="1"/>
  <c r="C77" i="4"/>
  <c r="B159" i="10"/>
  <c r="B78" i="4"/>
  <c r="S78" i="4"/>
  <c r="A79" i="4"/>
  <c r="E76" i="4"/>
  <c r="M76" i="4"/>
  <c r="O76" i="4" s="1"/>
  <c r="E158" i="10"/>
  <c r="D158" i="10"/>
  <c r="G158" i="10"/>
  <c r="C158" i="10"/>
  <c r="R55" i="4"/>
  <c r="Q54" i="4"/>
  <c r="L56" i="4"/>
  <c r="F137" i="10" s="1"/>
  <c r="N55" i="4"/>
  <c r="P55" i="4" s="1"/>
  <c r="Q55" i="4" s="1"/>
  <c r="C78" i="4" l="1"/>
  <c r="D78" i="4"/>
  <c r="G78" i="4" s="1"/>
  <c r="F76" i="4"/>
  <c r="I76" i="4" s="1"/>
  <c r="H76" i="4"/>
  <c r="D159" i="10"/>
  <c r="C159" i="10"/>
  <c r="E159" i="10"/>
  <c r="G159" i="10"/>
  <c r="B160" i="10"/>
  <c r="A80" i="4"/>
  <c r="S79" i="4"/>
  <c r="B79" i="4"/>
  <c r="M77" i="4"/>
  <c r="O77" i="4" s="1"/>
  <c r="E77" i="4"/>
  <c r="R56" i="4"/>
  <c r="L57" i="4"/>
  <c r="F138" i="10" s="1"/>
  <c r="N56" i="4"/>
  <c r="P56" i="4" s="1"/>
  <c r="Q56" i="4" s="1"/>
  <c r="D79" i="4" l="1"/>
  <c r="G79" i="4" s="1"/>
  <c r="C79" i="4"/>
  <c r="B161" i="10"/>
  <c r="A81" i="4"/>
  <c r="S80" i="4"/>
  <c r="B80" i="4"/>
  <c r="F77" i="4"/>
  <c r="I77" i="4" s="1"/>
  <c r="H77" i="4"/>
  <c r="C160" i="10"/>
  <c r="D160" i="10"/>
  <c r="E160" i="10"/>
  <c r="G160" i="10"/>
  <c r="E78" i="4"/>
  <c r="M78" i="4"/>
  <c r="O78" i="4" s="1"/>
  <c r="R57" i="4"/>
  <c r="L58" i="4"/>
  <c r="F139" i="10" s="1"/>
  <c r="N57" i="4"/>
  <c r="P57" i="4" s="1"/>
  <c r="Q57" i="4" s="1"/>
  <c r="E79" i="4" l="1"/>
  <c r="M79" i="4"/>
  <c r="O79" i="4" s="1"/>
  <c r="F78" i="4"/>
  <c r="I78" i="4" s="1"/>
  <c r="H78" i="4"/>
  <c r="D80" i="4"/>
  <c r="G80" i="4" s="1"/>
  <c r="C80" i="4"/>
  <c r="B162" i="10"/>
  <c r="S81" i="4"/>
  <c r="B81" i="4"/>
  <c r="A82" i="4"/>
  <c r="C161" i="10"/>
  <c r="G161" i="10"/>
  <c r="E161" i="10"/>
  <c r="D161" i="10"/>
  <c r="R58" i="4"/>
  <c r="L59" i="4"/>
  <c r="F140" i="10" s="1"/>
  <c r="N58" i="4"/>
  <c r="P58" i="4" s="1"/>
  <c r="Q58" i="4" s="1"/>
  <c r="E80" i="4" l="1"/>
  <c r="M80" i="4"/>
  <c r="O80" i="4" s="1"/>
  <c r="C162" i="10"/>
  <c r="E162" i="10"/>
  <c r="G162" i="10"/>
  <c r="D162" i="10"/>
  <c r="D81" i="4"/>
  <c r="G81" i="4" s="1"/>
  <c r="C81" i="4"/>
  <c r="B163" i="10"/>
  <c r="S82" i="4"/>
  <c r="B82" i="4"/>
  <c r="F79" i="4"/>
  <c r="I79" i="4" s="1"/>
  <c r="H79" i="4"/>
  <c r="R59" i="4"/>
  <c r="L60" i="4"/>
  <c r="F141" i="10" s="1"/>
  <c r="N59" i="4"/>
  <c r="P59" i="4" s="1"/>
  <c r="Q59" i="4" s="1"/>
  <c r="D82" i="4" l="1"/>
  <c r="G82" i="4" s="1"/>
  <c r="C82" i="4"/>
  <c r="C163" i="10"/>
  <c r="E163" i="10"/>
  <c r="D163" i="10"/>
  <c r="G163" i="10"/>
  <c r="E81" i="4"/>
  <c r="M81" i="4"/>
  <c r="O81" i="4" s="1"/>
  <c r="F80" i="4"/>
  <c r="I80" i="4" s="1"/>
  <c r="H80" i="4"/>
  <c r="R60" i="4"/>
  <c r="L61" i="4"/>
  <c r="F142" i="10" s="1"/>
  <c r="N60" i="4"/>
  <c r="P60" i="4" s="1"/>
  <c r="Q60" i="4" s="1"/>
  <c r="F81" i="4" l="1"/>
  <c r="I81" i="4" s="1"/>
  <c r="H81" i="4"/>
  <c r="E82" i="4"/>
  <c r="M82" i="4"/>
  <c r="O82" i="4" s="1"/>
  <c r="R61" i="4"/>
  <c r="L62" i="4"/>
  <c r="F143" i="10" s="1"/>
  <c r="N61" i="4"/>
  <c r="P61" i="4" s="1"/>
  <c r="Q61" i="4" s="1"/>
  <c r="F82" i="4" l="1"/>
  <c r="I82" i="4" s="1"/>
  <c r="H82" i="4"/>
  <c r="R62" i="4"/>
  <c r="L63" i="4"/>
  <c r="F144" i="10" s="1"/>
  <c r="N62" i="4"/>
  <c r="P62" i="4" s="1"/>
  <c r="Q62" i="4" s="1"/>
  <c r="R63" i="4" l="1"/>
  <c r="L64" i="4"/>
  <c r="F145" i="10" s="1"/>
  <c r="N63" i="4"/>
  <c r="P63" i="4" s="1"/>
  <c r="Q63" i="4" s="1"/>
  <c r="R64" i="4" l="1"/>
  <c r="L65" i="4"/>
  <c r="F146" i="10" s="1"/>
  <c r="N64" i="4"/>
  <c r="P64" i="4" s="1"/>
  <c r="Q64" i="4" s="1"/>
  <c r="R65" i="4" l="1"/>
  <c r="L66" i="4"/>
  <c r="F147" i="10" s="1"/>
  <c r="N65" i="4"/>
  <c r="P65" i="4" s="1"/>
  <c r="Q65" i="4" s="1"/>
  <c r="R66" i="4" l="1"/>
  <c r="L67" i="4"/>
  <c r="F148" i="10" s="1"/>
  <c r="N66" i="4"/>
  <c r="P66" i="4" s="1"/>
  <c r="Q66" i="4" s="1"/>
  <c r="R67" i="4" l="1"/>
  <c r="L68" i="4"/>
  <c r="F149" i="10" s="1"/>
  <c r="N67" i="4"/>
  <c r="P67" i="4" s="1"/>
  <c r="Q67" i="4" s="1"/>
  <c r="R68" i="4" l="1"/>
  <c r="L69" i="4"/>
  <c r="F150" i="10" s="1"/>
  <c r="N68" i="4"/>
  <c r="P68" i="4" s="1"/>
  <c r="Q68" i="4" s="1"/>
  <c r="R69" i="4" l="1"/>
  <c r="N69" i="4"/>
  <c r="P69" i="4" s="1"/>
  <c r="Q69" i="4" s="1"/>
  <c r="L70" i="4"/>
  <c r="F151" i="10" s="1"/>
  <c r="R70" i="4" l="1"/>
  <c r="L71" i="4"/>
  <c r="F152" i="10" s="1"/>
  <c r="N70" i="4"/>
  <c r="P70" i="4" s="1"/>
  <c r="Q70" i="4" s="1"/>
  <c r="R71" i="4" l="1"/>
  <c r="N71" i="4"/>
  <c r="P71" i="4" s="1"/>
  <c r="Q71" i="4" s="1"/>
  <c r="L72" i="4"/>
  <c r="F153" i="10" s="1"/>
  <c r="R72" i="4" l="1"/>
  <c r="L73" i="4"/>
  <c r="F154" i="10" s="1"/>
  <c r="N72" i="4"/>
  <c r="P72" i="4" s="1"/>
  <c r="Q72" i="4" s="1"/>
  <c r="R73" i="4" l="1"/>
  <c r="L74" i="4"/>
  <c r="F155" i="10" s="1"/>
  <c r="N73" i="4"/>
  <c r="P73" i="4" s="1"/>
  <c r="Q73" i="4" s="1"/>
  <c r="R74" i="4" l="1"/>
  <c r="N74" i="4"/>
  <c r="P74" i="4" s="1"/>
  <c r="Q74" i="4" s="1"/>
  <c r="L75" i="4"/>
  <c r="F156" i="10" s="1"/>
  <c r="R75" i="4" l="1"/>
  <c r="L76" i="4"/>
  <c r="F157" i="10" s="1"/>
  <c r="N75" i="4"/>
  <c r="P75" i="4" s="1"/>
  <c r="Q75" i="4" s="1"/>
  <c r="R76" i="4" l="1"/>
  <c r="L77" i="4"/>
  <c r="F158" i="10" s="1"/>
  <c r="N76" i="4"/>
  <c r="P76" i="4" s="1"/>
  <c r="Q76" i="4" s="1"/>
  <c r="R77" i="4" l="1"/>
  <c r="L78" i="4"/>
  <c r="F159" i="10" s="1"/>
  <c r="N77" i="4"/>
  <c r="P77" i="4" s="1"/>
  <c r="Q77" i="4" s="1"/>
  <c r="R78" i="4" l="1"/>
  <c r="N78" i="4"/>
  <c r="P78" i="4" s="1"/>
  <c r="Q78" i="4" s="1"/>
  <c r="L79" i="4"/>
  <c r="F160" i="10" s="1"/>
  <c r="R79" i="4" l="1"/>
  <c r="L80" i="4"/>
  <c r="F161" i="10" s="1"/>
  <c r="N79" i="4"/>
  <c r="P79" i="4" s="1"/>
  <c r="Q79" i="4" s="1"/>
  <c r="R80" i="4" l="1"/>
  <c r="L81" i="4"/>
  <c r="F162" i="10" s="1"/>
  <c r="N80" i="4"/>
  <c r="P80" i="4" s="1"/>
  <c r="Q80" i="4" s="1"/>
  <c r="R81" i="4" l="1"/>
  <c r="L82" i="4"/>
  <c r="F163" i="10" s="1"/>
  <c r="B165" i="10" s="1" a="1"/>
  <c r="N81" i="4"/>
  <c r="P81" i="4" s="1"/>
  <c r="Q81" i="4" s="1"/>
  <c r="B165" i="10" l="1"/>
  <c r="J100" i="10" s="1"/>
  <c r="C165" i="10"/>
  <c r="K100" i="10" s="1"/>
  <c r="E165" i="10"/>
  <c r="M100" i="10" s="1"/>
  <c r="F165" i="10"/>
  <c r="N100" i="10" s="1"/>
  <c r="D165" i="10"/>
  <c r="L100" i="10" s="1"/>
  <c r="N82" i="4"/>
  <c r="P82" i="4" s="1"/>
  <c r="Q82" i="4" s="1"/>
  <c r="R82" i="4"/>
  <c r="H132" i="10" l="1"/>
  <c r="F18" i="10"/>
  <c r="F20" i="10" s="1"/>
  <c r="F19" i="10"/>
  <c r="F21" i="10" s="1"/>
  <c r="F22" i="10" s="1"/>
  <c r="F23" i="10" s="1"/>
  <c r="F24" i="10" s="1"/>
  <c r="F27" i="10" s="1"/>
  <c r="H100" i="10"/>
  <c r="I18" i="10"/>
  <c r="I20" i="10" s="1"/>
  <c r="J19" i="10"/>
  <c r="J21" i="10" s="1"/>
  <c r="H101" i="10"/>
  <c r="J18" i="10"/>
  <c r="J20" i="10" s="1"/>
  <c r="G19" i="10"/>
  <c r="G21" i="10" s="1"/>
  <c r="H19" i="10"/>
  <c r="H21" i="10" s="1"/>
  <c r="I19" i="10"/>
  <c r="I21" i="10" s="1"/>
  <c r="L18" i="10"/>
  <c r="L20" i="10" s="1"/>
  <c r="L19" i="10"/>
  <c r="L21" i="10" s="1"/>
  <c r="K18" i="10"/>
  <c r="K20" i="10" s="1"/>
  <c r="K19" i="10"/>
  <c r="K21" i="10" s="1"/>
  <c r="G18" i="10"/>
  <c r="G20" i="10" s="1"/>
  <c r="H18" i="10"/>
  <c r="H20" i="10" s="1"/>
  <c r="H159" i="10"/>
  <c r="H154" i="10"/>
  <c r="H130" i="10"/>
  <c r="H105" i="10"/>
  <c r="H161" i="10"/>
  <c r="H162" i="10"/>
  <c r="H131" i="10"/>
  <c r="H109" i="10"/>
  <c r="H125" i="10"/>
  <c r="H117" i="10"/>
  <c r="H157" i="10"/>
  <c r="H160" i="10"/>
  <c r="H149" i="10"/>
  <c r="H129" i="10"/>
  <c r="H153" i="10"/>
  <c r="H118" i="10"/>
  <c r="H126" i="10"/>
  <c r="H119" i="10"/>
  <c r="H127" i="10"/>
  <c r="H122" i="10"/>
  <c r="H151" i="10"/>
  <c r="H138" i="10"/>
  <c r="H104" i="10"/>
  <c r="H128" i="10"/>
  <c r="H146" i="10"/>
  <c r="H107" i="10"/>
  <c r="H115" i="10"/>
  <c r="H145" i="10"/>
  <c r="H147" i="10"/>
  <c r="H163" i="10"/>
  <c r="H141" i="10"/>
  <c r="H133" i="10"/>
  <c r="H121" i="10"/>
  <c r="H137" i="10"/>
  <c r="H102" i="10"/>
  <c r="H110" i="10"/>
  <c r="H106" i="10"/>
  <c r="H112" i="10"/>
  <c r="H135" i="10"/>
  <c r="H143" i="10"/>
  <c r="H108" i="10"/>
  <c r="H136" i="10"/>
  <c r="H152" i="10"/>
  <c r="H139" i="10"/>
  <c r="H156" i="10"/>
  <c r="H144" i="10"/>
  <c r="H103" i="10"/>
  <c r="H123" i="10"/>
  <c r="H142" i="10"/>
  <c r="H148" i="10"/>
  <c r="H158" i="10"/>
  <c r="H120" i="10"/>
  <c r="H114" i="10"/>
  <c r="H113" i="10"/>
  <c r="H134" i="10"/>
  <c r="H111" i="10"/>
  <c r="H155" i="10"/>
  <c r="H140" i="10"/>
  <c r="H116" i="10"/>
  <c r="H150" i="10"/>
  <c r="H124" i="10"/>
  <c r="K22" i="10" l="1"/>
  <c r="K23" i="10" s="1"/>
  <c r="K24" i="10" s="1"/>
  <c r="K27" i="10" s="1"/>
  <c r="L22" i="10"/>
  <c r="L23" i="10" s="1"/>
  <c r="L24" i="10" s="1"/>
  <c r="I22" i="10"/>
  <c r="I23" i="10" s="1"/>
  <c r="I24" i="10" s="1"/>
  <c r="I27" i="10" s="1"/>
  <c r="H22" i="10"/>
  <c r="H23" i="10" s="1"/>
  <c r="H24" i="10" s="1"/>
  <c r="H27" i="10" s="1"/>
  <c r="J22" i="10"/>
  <c r="J23" i="10" s="1"/>
  <c r="J24" i="10" s="1"/>
  <c r="J27" i="10" s="1"/>
  <c r="G22" i="10"/>
  <c r="G23" i="10" s="1"/>
  <c r="G24" i="10" s="1"/>
  <c r="G27" i="10" s="1"/>
  <c r="L27" i="10" l="1"/>
</calcChain>
</file>

<file path=xl/sharedStrings.xml><?xml version="1.0" encoding="utf-8"?>
<sst xmlns="http://schemas.openxmlformats.org/spreadsheetml/2006/main" count="179" uniqueCount="123">
  <si>
    <t>PRED BW =</t>
  </si>
  <si>
    <t>DIFF =</t>
  </si>
  <si>
    <r>
      <t xml:space="preserve">     BW=b</t>
    </r>
    <r>
      <rPr>
        <b/>
        <vertAlign val="subscript"/>
        <sz val="10"/>
        <rFont val="Arial"/>
        <family val="2"/>
        <charset val="204"/>
      </rPr>
      <t xml:space="preserve">0 </t>
    </r>
    <r>
      <rPr>
        <b/>
        <sz val="10"/>
        <rFont val="Arial"/>
        <family val="2"/>
        <charset val="204"/>
      </rPr>
      <t>+ (b</t>
    </r>
    <r>
      <rPr>
        <b/>
        <vertAlign val="subscript"/>
        <sz val="10"/>
        <rFont val="Arial"/>
        <family val="2"/>
        <charset val="204"/>
      </rPr>
      <t>1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  <charset val="204"/>
      </rPr>
      <t>FI) - (b</t>
    </r>
    <r>
      <rPr>
        <b/>
        <vertAlign val="subscript"/>
        <sz val="10"/>
        <rFont val="Arial"/>
        <family val="2"/>
        <charset val="204"/>
      </rPr>
      <t>2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  <charset val="204"/>
      </rPr>
      <t>FI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  <charset val="204"/>
      </rPr>
      <t>FI)</t>
    </r>
  </si>
  <si>
    <t>ADJUSTED</t>
  </si>
  <si>
    <t xml:space="preserve">ADJ b0 = </t>
  </si>
  <si>
    <r>
      <t>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 xml:space="preserve"> =</t>
    </r>
  </si>
  <si>
    <t>x</t>
  </si>
  <si>
    <t>y</t>
  </si>
  <si>
    <t>x2</t>
  </si>
  <si>
    <t>x1-2</t>
  </si>
  <si>
    <t>x2-2</t>
  </si>
  <si>
    <t>y2</t>
  </si>
  <si>
    <t>X x Y</t>
  </si>
  <si>
    <t>X2 x Y</t>
  </si>
  <si>
    <t>x1-3</t>
  </si>
  <si>
    <r>
      <t>b</t>
    </r>
    <r>
      <rPr>
        <b/>
        <vertAlign val="sub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=</t>
    </r>
  </si>
  <si>
    <t>FI =</t>
  </si>
  <si>
    <t>BW=</t>
  </si>
  <si>
    <t>BW2 =</t>
  </si>
  <si>
    <r>
      <t>b</t>
    </r>
    <r>
      <rPr>
        <b/>
        <vertAlign val="sub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 xml:space="preserve"> =</t>
    </r>
  </si>
  <si>
    <t>Pounds</t>
  </si>
  <si>
    <t>kg</t>
  </si>
  <si>
    <t>Body Weight</t>
  </si>
  <si>
    <t>F.C.</t>
  </si>
  <si>
    <t>Intake</t>
  </si>
  <si>
    <t>b0</t>
  </si>
  <si>
    <t>b1</t>
  </si>
  <si>
    <t>b2</t>
  </si>
  <si>
    <t>BODY WEIGHT STANDARD CURVE:</t>
  </si>
  <si>
    <t>This is the standard curve on the "Graph" page</t>
  </si>
  <si>
    <t xml:space="preserve">THE BIRDS OBSERVED BODY WEIGHT WAS: </t>
  </si>
  <si>
    <t xml:space="preserve">THE BIRDS OBSERVED CONSUMPTION WAS: </t>
  </si>
  <si>
    <t>Kg</t>
  </si>
  <si>
    <t>Age</t>
  </si>
  <si>
    <t>Cumulative</t>
  </si>
  <si>
    <t>(days)</t>
  </si>
  <si>
    <t>Consumption</t>
  </si>
  <si>
    <t>Body</t>
  </si>
  <si>
    <t>Weight</t>
  </si>
  <si>
    <t>i</t>
  </si>
  <si>
    <t>a</t>
  </si>
  <si>
    <t>C</t>
  </si>
  <si>
    <t>C2</t>
  </si>
  <si>
    <t>BW</t>
  </si>
  <si>
    <r>
      <t xml:space="preserve">     Age=b</t>
    </r>
    <r>
      <rPr>
        <b/>
        <vertAlign val="subscript"/>
        <sz val="10"/>
        <rFont val="Arial"/>
        <family val="2"/>
        <charset val="204"/>
      </rPr>
      <t xml:space="preserve">0 </t>
    </r>
    <r>
      <rPr>
        <b/>
        <sz val="10"/>
        <rFont val="Arial"/>
        <family val="2"/>
        <charset val="204"/>
      </rPr>
      <t>+ (b</t>
    </r>
    <r>
      <rPr>
        <b/>
        <vertAlign val="subscript"/>
        <sz val="10"/>
        <rFont val="Arial"/>
        <family val="2"/>
        <charset val="204"/>
      </rPr>
      <t>1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  <charset val="204"/>
      </rPr>
      <t>FI) - (b</t>
    </r>
    <r>
      <rPr>
        <b/>
        <vertAlign val="subscript"/>
        <sz val="10"/>
        <rFont val="Arial"/>
        <family val="2"/>
        <charset val="204"/>
      </rPr>
      <t>2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  <charset val="204"/>
      </rPr>
      <t>FI</t>
    </r>
    <r>
      <rPr>
        <b/>
        <i/>
        <sz val="10"/>
        <rFont val="Arial"/>
        <family val="2"/>
      </rPr>
      <t>x</t>
    </r>
    <r>
      <rPr>
        <b/>
        <sz val="10"/>
        <rFont val="Arial"/>
        <family val="2"/>
        <charset val="204"/>
      </rPr>
      <t>FI)</t>
    </r>
  </si>
  <si>
    <t>This is the standard curve on the "Inputs" page</t>
  </si>
  <si>
    <t xml:space="preserve">THE BIRDS OBSERVED Age WEIGHT WAS: </t>
  </si>
  <si>
    <t>Make no changes on this page</t>
  </si>
  <si>
    <t>with the standards.  Do the data seem reasonable?</t>
  </si>
  <si>
    <t>Age (Days)</t>
  </si>
  <si>
    <t xml:space="preserve">Live Broiler Price($/Kg) = </t>
  </si>
  <si>
    <t>a2</t>
  </si>
  <si>
    <t>Feed Costs</t>
  </si>
  <si>
    <t>Total Returns</t>
  </si>
  <si>
    <t>Net Returns</t>
  </si>
  <si>
    <t>Marginal Returns</t>
  </si>
  <si>
    <t>Daily Cost</t>
  </si>
  <si>
    <t>Daily Returns</t>
  </si>
  <si>
    <t>SALE DAY.EXE</t>
  </si>
  <si>
    <t>THE POULTRY HUB AUSTRALIA</t>
  </si>
  <si>
    <t>gpesti@une.edu.au</t>
  </si>
  <si>
    <t>BE SENT TO MARKET?</t>
  </si>
  <si>
    <t>PER BIRD</t>
  </si>
  <si>
    <t xml:space="preserve">Flock Size = </t>
  </si>
  <si>
    <t>birds</t>
  </si>
  <si>
    <t xml:space="preserve">Mortality = </t>
  </si>
  <si>
    <t>Birds/day =</t>
  </si>
  <si>
    <t>%</t>
  </si>
  <si>
    <t xml:space="preserve">Live Birds </t>
  </si>
  <si>
    <t>Total Consumption</t>
  </si>
  <si>
    <t>PER FLOCK</t>
  </si>
  <si>
    <t>Total Body Weight</t>
  </si>
  <si>
    <t>Total Feed Costs</t>
  </si>
  <si>
    <t xml:space="preserve">    %</t>
  </si>
  <si>
    <t>F.C.R.</t>
  </si>
  <si>
    <t xml:space="preserve">Feed Price ($/Kg) = </t>
  </si>
  <si>
    <t xml:space="preserve">     Gene Pesti </t>
  </si>
  <si>
    <t>Age at Start (Days)</t>
  </si>
  <si>
    <t>Age at End (Days)</t>
  </si>
  <si>
    <t>% Margin of Safety</t>
  </si>
  <si>
    <t>THIRD, Check the Weight Graph and Age Graph tabs to see how your results compare</t>
  </si>
  <si>
    <t>b3</t>
  </si>
  <si>
    <t>b4</t>
  </si>
  <si>
    <t xml:space="preserve">Age </t>
  </si>
  <si>
    <t>Age2</t>
  </si>
  <si>
    <t xml:space="preserve">Age3 </t>
  </si>
  <si>
    <t>Age 4</t>
  </si>
  <si>
    <t>birds at hatching</t>
  </si>
  <si>
    <t>Pre-Starter</t>
  </si>
  <si>
    <t>End Feed</t>
  </si>
  <si>
    <t>Start Feed</t>
  </si>
  <si>
    <t xml:space="preserve"> With Margin of Safety</t>
  </si>
  <si>
    <t>Total</t>
  </si>
  <si>
    <t>(kg)</t>
  </si>
  <si>
    <t>Tonnes</t>
  </si>
  <si>
    <r>
      <t xml:space="preserve">The feed needs of your flock (below) are </t>
    </r>
    <r>
      <rPr>
        <sz val="20"/>
        <color rgb="FFFF0000"/>
        <rFont val="Comic Sans MS Bold"/>
      </rPr>
      <t>estimates</t>
    </r>
    <r>
      <rPr>
        <sz val="20"/>
        <rFont val="Comic Sans MS Bold"/>
      </rPr>
      <t xml:space="preserve"> from flock size and mortality entered on the "Sales Day" tab.</t>
    </r>
  </si>
  <si>
    <t>Actual feed consumption will depend on many factorsl like temperature, humidity, disease challenge, etc.</t>
  </si>
  <si>
    <t>The history of flocks in the same facilities also very important to consider when purchasing feed</t>
  </si>
  <si>
    <t>Cost per tonne</t>
  </si>
  <si>
    <t>$</t>
  </si>
  <si>
    <t>Total per feed</t>
  </si>
  <si>
    <t>CHANGE FLOCK SIZE AND MORTALITY ON THE SALE DAY TAB</t>
  </si>
  <si>
    <t xml:space="preserve">CHANGE ONLY TITLES &amp; VALUES IN THE YELLOW CELLS </t>
  </si>
  <si>
    <t>Feed Intake</t>
  </si>
  <si>
    <t>Total Intake</t>
  </si>
  <si>
    <t>FOURTH, Go to the "Sale Day" tab, input your costs and returns and see your results</t>
  </si>
  <si>
    <t>The more birds you weigh, the better the average estimate will be and the better the sale day prediction will be.</t>
  </si>
  <si>
    <t>Type your data into the yellow cells</t>
  </si>
  <si>
    <t>Bird</t>
  </si>
  <si>
    <t xml:space="preserve">There is a 50 % chance that the true average is above </t>
  </si>
  <si>
    <t xml:space="preserve">There is a 68 % chance that the true average is above </t>
  </si>
  <si>
    <t>We recommend weighing at least 20 birds or until adding another bird makes little difference in the average.</t>
  </si>
  <si>
    <t xml:space="preserve">Standard Deviation = </t>
  </si>
  <si>
    <t>You may find the "Finding the Average" spreadsheet helpful</t>
  </si>
  <si>
    <t>SECOND, weigh a sample of your birds and input your observed data in cells E24 to E24</t>
  </si>
  <si>
    <t>FIRST, input your standard data in cells D6 to F18</t>
  </si>
  <si>
    <t>WHEN SHOULD BROILERS OR TURKEYS</t>
  </si>
  <si>
    <t>THE DAY TO SELL IS JUST BEFORE MARGINAL RETURNS BECOME NEGATIVE</t>
  </si>
  <si>
    <t>THE GRAPHS TO THE RIGHT SHOW THE BEST YOU CAN EXPECT YOUR PREDICTIONS TO BE</t>
  </si>
  <si>
    <r>
      <t xml:space="preserve">Feed to Beginning Day </t>
    </r>
    <r>
      <rPr>
        <sz val="20"/>
        <color rgb="FF00B050"/>
        <rFont val="Comic Sans MS Bold"/>
      </rPr>
      <t>(1)</t>
    </r>
  </si>
  <si>
    <r>
      <t xml:space="preserve">Feed to Ending Day </t>
    </r>
    <r>
      <rPr>
        <sz val="20"/>
        <color rgb="FF00B050"/>
        <rFont val="Comic Sans MS Bold"/>
      </rPr>
      <t>(2)</t>
    </r>
  </si>
  <si>
    <r>
      <t xml:space="preserve">Feed need </t>
    </r>
    <r>
      <rPr>
        <sz val="20"/>
        <color rgb="FF00B050"/>
        <rFont val="Comic Sans MS Bold"/>
      </rPr>
      <t>(2) - (1)</t>
    </r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</si>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</sst>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_)"/>
    <numFmt numFmtId="165" formatCode="0.0000_)"/>
    <numFmt numFmtId="166" formatCode="0.0_)"/>
    <numFmt numFmtId="167" formatCode="0.000"/>
  </numFmts>
  <fonts count="42">
    <font>
      <sz val="10"/>
      <name val="Courier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i/>
      <sz val="10"/>
      <name val="Arial"/>
      <family val="2"/>
    </font>
    <font>
      <b/>
      <sz val="10"/>
      <color indexed="12"/>
      <name val="Arial"/>
      <family val="2"/>
      <charset val="204"/>
    </font>
    <font>
      <sz val="14"/>
      <name val="Comic Sans MS"/>
      <family val="4"/>
    </font>
    <font>
      <sz val="10"/>
      <color theme="1"/>
      <name val="Arial"/>
      <family val="2"/>
    </font>
    <font>
      <b/>
      <sz val="10"/>
      <color theme="0"/>
      <name val="Arial"/>
      <family val="2"/>
      <charset val="204"/>
    </font>
    <font>
      <sz val="10"/>
      <name val="Courier"/>
      <family val="1"/>
    </font>
    <font>
      <sz val="20"/>
      <name val="Comic Sans MS"/>
      <family val="4"/>
    </font>
    <font>
      <sz val="18"/>
      <name val="Courier"/>
      <family val="1"/>
    </font>
    <font>
      <sz val="10"/>
      <color rgb="FFFFFF00"/>
      <name val="Comic Sans MS Bold"/>
    </font>
    <font>
      <sz val="28"/>
      <color rgb="FFFFFF00"/>
      <name val="Comic Sans MS Bold"/>
    </font>
    <font>
      <sz val="10"/>
      <color rgb="FFFFFF00"/>
      <name val="Courier"/>
      <family val="1"/>
    </font>
    <font>
      <b/>
      <sz val="72"/>
      <color rgb="FFFFFF00"/>
      <name val="Comic Sans MS Bold"/>
    </font>
    <font>
      <b/>
      <sz val="48"/>
      <color rgb="FFFFFF00"/>
      <name val="Comic Sans MS Bold"/>
    </font>
    <font>
      <sz val="48"/>
      <color rgb="FFFFFF00"/>
      <name val="Comic Sans MS Bold"/>
    </font>
    <font>
      <b/>
      <i/>
      <sz val="48"/>
      <color rgb="FFFFFF00"/>
      <name val="Comic Sans MS Bold"/>
    </font>
    <font>
      <sz val="48"/>
      <color rgb="FFFFFF00"/>
      <name val="Courier"/>
      <family val="1"/>
    </font>
    <font>
      <b/>
      <sz val="18"/>
      <name val="Courier"/>
      <family val="1"/>
    </font>
    <font>
      <sz val="18"/>
      <color rgb="FFFF0000"/>
      <name val="Courier"/>
      <family val="1"/>
    </font>
    <font>
      <sz val="10"/>
      <color rgb="FFFF0000"/>
      <name val="Courier"/>
      <family val="1"/>
    </font>
    <font>
      <sz val="18"/>
      <color theme="1"/>
      <name val="Courier"/>
      <family val="1"/>
    </font>
    <font>
      <sz val="20"/>
      <name val="Courier"/>
      <family val="1"/>
    </font>
    <font>
      <sz val="20"/>
      <name val="Comic Sans MS Bold"/>
    </font>
    <font>
      <sz val="8"/>
      <name val="Courier"/>
      <family val="1"/>
    </font>
    <font>
      <sz val="20"/>
      <color rgb="FFFF0000"/>
      <name val="Comic Sans MS Bold"/>
    </font>
    <font>
      <sz val="20"/>
      <color theme="0"/>
      <name val="Comic Sans MS Bold"/>
    </font>
    <font>
      <b/>
      <sz val="28"/>
      <color rgb="FFFF0000"/>
      <name val="Comic Sans MS Bold"/>
    </font>
    <font>
      <sz val="20"/>
      <color rgb="FFFFFF00"/>
      <name val="Comic Sans MS Bold"/>
    </font>
    <font>
      <sz val="24"/>
      <color rgb="FFFF0000"/>
      <name val="Comic Sans MS Bold"/>
    </font>
    <font>
      <sz val="20"/>
      <color theme="1"/>
      <name val="Comic Sans MS Bold"/>
    </font>
    <font>
      <sz val="22"/>
      <name val="Comic Sans MS Bold"/>
    </font>
    <font>
      <sz val="22"/>
      <color rgb="FFFFFF00"/>
      <name val="Comic Sans MS Bold"/>
    </font>
    <font>
      <sz val="20"/>
      <color rgb="FFFFFF00"/>
      <name val="Comic Sans MS"/>
      <family val="4"/>
    </font>
    <font>
      <sz val="20"/>
      <color rgb="FF00B050"/>
      <name val="Comic Sans MS Bold"/>
    </font>
    <font>
      <sz val="36"/>
      <color theme="0"/>
      <name val="Comic Sans MS Bold"/>
    </font>
    <font>
      <sz val="48"/>
      <color theme="0"/>
      <name val="Comic Sans MS Bold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2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/>
    </xf>
    <xf numFmtId="166" fontId="0" fillId="2" borderId="0" xfId="0" applyNumberFormat="1" applyFill="1"/>
    <xf numFmtId="0" fontId="2" fillId="0" borderId="0" xfId="0" applyFont="1"/>
    <xf numFmtId="165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4" fontId="5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Protection="1">
      <protection locked="0"/>
    </xf>
    <xf numFmtId="0" fontId="0" fillId="4" borderId="0" xfId="0" applyFill="1"/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Alignment="1">
      <alignment vertical="center"/>
    </xf>
    <xf numFmtId="165" fontId="3" fillId="2" borderId="3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vertical="center"/>
    </xf>
    <xf numFmtId="167" fontId="1" fillId="2" borderId="0" xfId="0" applyNumberFormat="1" applyFont="1" applyFill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4" fillId="3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0" fontId="10" fillId="0" borderId="19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4" fontId="11" fillId="5" borderId="5" xfId="0" applyNumberFormat="1" applyFont="1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vertical="center"/>
    </xf>
    <xf numFmtId="164" fontId="11" fillId="5" borderId="0" xfId="0" applyNumberFormat="1" applyFont="1" applyFill="1" applyAlignment="1" applyProtection="1">
      <alignment horizontal="center"/>
      <protection locked="0"/>
    </xf>
    <xf numFmtId="0" fontId="9" fillId="0" borderId="0" xfId="1" applyFont="1"/>
    <xf numFmtId="0" fontId="1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 applyProtection="1">
      <alignment vertic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166" fontId="0" fillId="7" borderId="0" xfId="0" applyNumberFormat="1" applyFill="1"/>
    <xf numFmtId="164" fontId="0" fillId="7" borderId="0" xfId="0" applyNumberFormat="1" applyFill="1"/>
    <xf numFmtId="0" fontId="3" fillId="0" borderId="0" xfId="0" applyFont="1" applyAlignment="1">
      <alignment horizontal="center"/>
    </xf>
    <xf numFmtId="164" fontId="11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13" fillId="4" borderId="0" xfId="1" applyFont="1" applyFill="1"/>
    <xf numFmtId="0" fontId="9" fillId="4" borderId="0" xfId="1" applyFont="1" applyFill="1"/>
    <xf numFmtId="0" fontId="9" fillId="4" borderId="1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center"/>
    </xf>
    <xf numFmtId="0" fontId="13" fillId="7" borderId="17" xfId="1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>
      <alignment horizontal="center" vertical="center"/>
    </xf>
    <xf numFmtId="2" fontId="14" fillId="4" borderId="0" xfId="0" applyNumberFormat="1" applyFont="1" applyFill="1" applyAlignment="1">
      <alignment horizontal="right" vertical="center"/>
    </xf>
    <xf numFmtId="2" fontId="14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2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8" borderId="0" xfId="0" applyFill="1"/>
    <xf numFmtId="0" fontId="15" fillId="8" borderId="0" xfId="0" applyFont="1" applyFill="1"/>
    <xf numFmtId="0" fontId="16" fillId="8" borderId="0" xfId="0" applyFont="1" applyFill="1"/>
    <xf numFmtId="0" fontId="17" fillId="8" borderId="0" xfId="0" applyFont="1" applyFill="1"/>
    <xf numFmtId="0" fontId="18" fillId="8" borderId="0" xfId="0" applyFont="1" applyFill="1" applyAlignment="1">
      <alignment horizontal="left"/>
    </xf>
    <xf numFmtId="0" fontId="19" fillId="8" borderId="0" xfId="0" applyFont="1" applyFill="1" applyAlignment="1">
      <alignment horizontal="centerContinuous"/>
    </xf>
    <xf numFmtId="0" fontId="20" fillId="8" borderId="0" xfId="0" applyFont="1" applyFill="1"/>
    <xf numFmtId="0" fontId="20" fillId="8" borderId="0" xfId="0" applyFont="1" applyFill="1" applyAlignment="1">
      <alignment horizontal="centerContinuous"/>
    </xf>
    <xf numFmtId="0" fontId="21" fillId="8" borderId="0" xfId="0" applyFont="1" applyFill="1" applyAlignment="1">
      <alignment horizontal="centerContinuous"/>
    </xf>
    <xf numFmtId="0" fontId="20" fillId="8" borderId="0" xfId="0" applyFont="1" applyFill="1" applyAlignment="1">
      <alignment horizontal="left"/>
    </xf>
    <xf numFmtId="0" fontId="16" fillId="8" borderId="0" xfId="0" quotePrefix="1" applyFont="1" applyFill="1"/>
    <xf numFmtId="0" fontId="22" fillId="8" borderId="0" xfId="0" applyFont="1" applyFill="1"/>
    <xf numFmtId="2" fontId="14" fillId="9" borderId="1" xfId="0" applyNumberFormat="1" applyFont="1" applyFill="1" applyBorder="1" applyAlignment="1">
      <alignment horizontal="center" vertical="center"/>
    </xf>
    <xf numFmtId="167" fontId="14" fillId="9" borderId="1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2" fontId="14" fillId="4" borderId="0" xfId="0" applyNumberFormat="1" applyFont="1" applyFill="1"/>
    <xf numFmtId="0" fontId="24" fillId="4" borderId="0" xfId="0" applyFont="1" applyFill="1"/>
    <xf numFmtId="0" fontId="24" fillId="0" borderId="0" xfId="0" applyFont="1"/>
    <xf numFmtId="0" fontId="25" fillId="0" borderId="0" xfId="0" applyFont="1"/>
    <xf numFmtId="2" fontId="26" fillId="9" borderId="1" xfId="0" applyNumberFormat="1" applyFont="1" applyFill="1" applyBorder="1" applyAlignment="1">
      <alignment horizontal="center" vertical="center"/>
    </xf>
    <xf numFmtId="167" fontId="26" fillId="9" borderId="1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2" fontId="14" fillId="9" borderId="23" xfId="0" applyNumberFormat="1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2" fontId="14" fillId="10" borderId="23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1" fontId="14" fillId="10" borderId="1" xfId="0" applyNumberFormat="1" applyFont="1" applyFill="1" applyBorder="1" applyAlignment="1">
      <alignment horizontal="center" vertical="center"/>
    </xf>
    <xf numFmtId="2" fontId="14" fillId="10" borderId="1" xfId="0" applyNumberFormat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1" fontId="26" fillId="10" borderId="1" xfId="0" applyNumberFormat="1" applyFont="1" applyFill="1" applyBorder="1" applyAlignment="1">
      <alignment horizontal="center" vertical="center"/>
    </xf>
    <xf numFmtId="2" fontId="26" fillId="10" borderId="1" xfId="0" applyNumberFormat="1" applyFont="1" applyFill="1" applyBorder="1" applyAlignment="1">
      <alignment horizontal="center" vertical="center"/>
    </xf>
    <xf numFmtId="167" fontId="14" fillId="10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 wrapText="1"/>
    </xf>
    <xf numFmtId="2" fontId="14" fillId="9" borderId="22" xfId="0" applyNumberFormat="1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 wrapText="1"/>
    </xf>
    <xf numFmtId="0" fontId="14" fillId="4" borderId="0" xfId="0" quotePrefix="1" applyFont="1" applyFill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13" fillId="7" borderId="11" xfId="1" applyFont="1" applyFill="1" applyBorder="1" applyAlignment="1">
      <alignment horizontal="center"/>
    </xf>
    <xf numFmtId="0" fontId="13" fillId="7" borderId="14" xfId="1" applyFont="1" applyFill="1" applyBorder="1" applyAlignment="1">
      <alignment horizontal="center"/>
    </xf>
    <xf numFmtId="0" fontId="13" fillId="7" borderId="15" xfId="1" applyFont="1" applyFill="1" applyBorder="1" applyAlignment="1">
      <alignment horizontal="center"/>
    </xf>
    <xf numFmtId="0" fontId="13" fillId="7" borderId="12" xfId="1" applyFont="1" applyFill="1" applyBorder="1" applyAlignment="1">
      <alignment horizontal="center"/>
    </xf>
    <xf numFmtId="0" fontId="13" fillId="7" borderId="22" xfId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/>
    </xf>
    <xf numFmtId="0" fontId="13" fillId="7" borderId="24" xfId="1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/>
    </xf>
    <xf numFmtId="0" fontId="13" fillId="12" borderId="16" xfId="1" applyFont="1" applyFill="1" applyBorder="1" applyAlignment="1">
      <alignment horizontal="center"/>
    </xf>
    <xf numFmtId="0" fontId="13" fillId="12" borderId="13" xfId="1" applyFont="1" applyFill="1" applyBorder="1" applyAlignment="1">
      <alignment horizontal="center"/>
    </xf>
    <xf numFmtId="0" fontId="13" fillId="12" borderId="17" xfId="1" applyFont="1" applyFill="1" applyBorder="1" applyAlignment="1">
      <alignment horizontal="center"/>
    </xf>
    <xf numFmtId="0" fontId="27" fillId="0" borderId="0" xfId="0" applyFont="1"/>
    <xf numFmtId="0" fontId="13" fillId="4" borderId="0" xfId="1" applyFont="1" applyFill="1" applyAlignment="1">
      <alignment horizontal="center"/>
    </xf>
    <xf numFmtId="0" fontId="14" fillId="11" borderId="0" xfId="0" applyFont="1" applyFill="1" applyAlignment="1">
      <alignment horizontal="center" vertical="center" wrapText="1"/>
    </xf>
    <xf numFmtId="0" fontId="14" fillId="9" borderId="29" xfId="0" applyFont="1" applyFill="1" applyBorder="1" applyAlignment="1">
      <alignment horizontal="center" vertical="center" wrapText="1"/>
    </xf>
    <xf numFmtId="2" fontId="14" fillId="9" borderId="29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/>
    <xf numFmtId="0" fontId="28" fillId="4" borderId="0" xfId="0" quotePrefix="1" applyFont="1" applyFill="1" applyAlignment="1">
      <alignment horizontal="center" vertical="center"/>
    </xf>
    <xf numFmtId="2" fontId="31" fillId="8" borderId="1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28" fillId="4" borderId="1" xfId="0" applyFont="1" applyFill="1" applyBorder="1"/>
    <xf numFmtId="1" fontId="28" fillId="4" borderId="1" xfId="0" applyNumberFormat="1" applyFont="1" applyFill="1" applyBorder="1" applyAlignment="1">
      <alignment horizontal="center" vertical="center"/>
    </xf>
    <xf numFmtId="1" fontId="28" fillId="4" borderId="0" xfId="0" applyNumberFormat="1" applyFont="1" applyFill="1"/>
    <xf numFmtId="0" fontId="28" fillId="4" borderId="1" xfId="0" applyFont="1" applyFill="1" applyBorder="1" applyAlignment="1">
      <alignment horizontal="left" vertical="center"/>
    </xf>
    <xf numFmtId="1" fontId="30" fillId="4" borderId="1" xfId="0" applyNumberFormat="1" applyFont="1" applyFill="1" applyBorder="1" applyAlignment="1">
      <alignment horizontal="center" vertical="center"/>
    </xf>
    <xf numFmtId="167" fontId="30" fillId="4" borderId="1" xfId="0" applyNumberFormat="1" applyFont="1" applyFill="1" applyBorder="1" applyAlignment="1">
      <alignment horizontal="center" vertical="center"/>
    </xf>
    <xf numFmtId="1" fontId="28" fillId="4" borderId="0" xfId="0" applyNumberFormat="1" applyFont="1" applyFill="1" applyAlignment="1">
      <alignment horizontal="center" vertical="center"/>
    </xf>
    <xf numFmtId="0" fontId="28" fillId="4" borderId="23" xfId="0" applyFont="1" applyFill="1" applyBorder="1" applyAlignment="1">
      <alignment horizontal="center" vertical="center" wrapText="1"/>
    </xf>
    <xf numFmtId="0" fontId="12" fillId="4" borderId="0" xfId="2" applyFill="1"/>
    <xf numFmtId="0" fontId="27" fillId="4" borderId="0" xfId="2" applyFont="1" applyFill="1"/>
    <xf numFmtId="0" fontId="12" fillId="0" borderId="0" xfId="2"/>
    <xf numFmtId="0" fontId="28" fillId="4" borderId="0" xfId="2" applyFont="1" applyFill="1"/>
    <xf numFmtId="0" fontId="28" fillId="4" borderId="0" xfId="2" applyFont="1" applyFill="1" applyAlignment="1">
      <alignment horizontal="center" vertical="center"/>
    </xf>
    <xf numFmtId="0" fontId="35" fillId="4" borderId="1" xfId="1" applyFont="1" applyFill="1" applyBorder="1" applyAlignment="1">
      <alignment horizontal="center" vertical="center"/>
    </xf>
    <xf numFmtId="0" fontId="35" fillId="4" borderId="0" xfId="1" applyFont="1" applyFill="1" applyAlignment="1">
      <alignment horizontal="center" vertical="center"/>
    </xf>
    <xf numFmtId="0" fontId="36" fillId="4" borderId="0" xfId="2" applyFont="1" applyFill="1" applyAlignment="1">
      <alignment horizontal="center" vertical="center"/>
    </xf>
    <xf numFmtId="0" fontId="28" fillId="4" borderId="1" xfId="2" applyFont="1" applyFill="1" applyBorder="1" applyAlignment="1">
      <alignment horizontal="center" vertical="center"/>
    </xf>
    <xf numFmtId="2" fontId="35" fillId="4" borderId="0" xfId="1" applyNumberFormat="1" applyFont="1" applyFill="1" applyAlignment="1">
      <alignment horizontal="center" vertical="center"/>
    </xf>
    <xf numFmtId="0" fontId="36" fillId="4" borderId="0" xfId="2" applyFont="1" applyFill="1" applyAlignment="1">
      <alignment horizontal="right" vertical="center"/>
    </xf>
    <xf numFmtId="0" fontId="36" fillId="4" borderId="0" xfId="2" applyFont="1" applyFill="1"/>
    <xf numFmtId="0" fontId="19" fillId="8" borderId="0" xfId="0" applyFont="1" applyFill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7" fontId="13" fillId="7" borderId="11" xfId="1" applyNumberFormat="1" applyFont="1" applyFill="1" applyBorder="1" applyAlignment="1">
      <alignment horizontal="center"/>
    </xf>
    <xf numFmtId="2" fontId="28" fillId="7" borderId="1" xfId="2" applyNumberFormat="1" applyFont="1" applyFill="1" applyBorder="1" applyAlignment="1">
      <alignment horizontal="center"/>
    </xf>
    <xf numFmtId="2" fontId="35" fillId="7" borderId="1" xfId="1" applyNumberFormat="1" applyFont="1" applyFill="1" applyBorder="1" applyAlignment="1">
      <alignment vertical="center"/>
    </xf>
    <xf numFmtId="0" fontId="13" fillId="4" borderId="0" xfId="1" applyFont="1" applyFill="1" applyAlignment="1">
      <alignment horizontal="left" vertical="center" wrapText="1"/>
    </xf>
    <xf numFmtId="0" fontId="38" fillId="5" borderId="0" xfId="1" applyFont="1" applyFill="1" applyAlignment="1">
      <alignment horizontal="center"/>
    </xf>
    <xf numFmtId="0" fontId="13" fillId="4" borderId="0" xfId="1" applyFont="1" applyFill="1" applyAlignment="1">
      <alignment horizontal="left" vertical="center"/>
    </xf>
    <xf numFmtId="2" fontId="41" fillId="5" borderId="0" xfId="2" applyNumberFormat="1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/>
    </xf>
    <xf numFmtId="0" fontId="33" fillId="13" borderId="6" xfId="2" applyFont="1" applyFill="1" applyBorder="1" applyAlignment="1">
      <alignment horizontal="center" vertical="center" wrapText="1"/>
    </xf>
    <xf numFmtId="0" fontId="33" fillId="13" borderId="7" xfId="2" applyFont="1" applyFill="1" applyBorder="1" applyAlignment="1">
      <alignment horizontal="center" vertical="center" wrapText="1"/>
    </xf>
    <xf numFmtId="0" fontId="33" fillId="13" borderId="8" xfId="2" applyFont="1" applyFill="1" applyBorder="1" applyAlignment="1">
      <alignment horizontal="center" vertical="center" wrapText="1"/>
    </xf>
    <xf numFmtId="0" fontId="33" fillId="13" borderId="9" xfId="2" applyFont="1" applyFill="1" applyBorder="1" applyAlignment="1">
      <alignment horizontal="center" vertical="center" wrapText="1"/>
    </xf>
    <xf numFmtId="0" fontId="33" fillId="13" borderId="4" xfId="2" applyFont="1" applyFill="1" applyBorder="1" applyAlignment="1">
      <alignment horizontal="center" vertical="center" wrapText="1"/>
    </xf>
    <xf numFmtId="0" fontId="33" fillId="13" borderId="10" xfId="2" applyFont="1" applyFill="1" applyBorder="1" applyAlignment="1">
      <alignment horizontal="center" vertical="center" wrapText="1"/>
    </xf>
    <xf numFmtId="0" fontId="34" fillId="14" borderId="27" xfId="2" applyFont="1" applyFill="1" applyBorder="1" applyAlignment="1">
      <alignment horizontal="center"/>
    </xf>
    <xf numFmtId="0" fontId="34" fillId="14" borderId="31" xfId="2" applyFont="1" applyFill="1" applyBorder="1" applyAlignment="1">
      <alignment horizontal="center"/>
    </xf>
    <xf numFmtId="0" fontId="34" fillId="14" borderId="32" xfId="2" applyFont="1" applyFill="1" applyBorder="1" applyAlignment="1">
      <alignment horizontal="center"/>
    </xf>
    <xf numFmtId="0" fontId="36" fillId="4" borderId="0" xfId="2" applyFont="1" applyFill="1" applyAlignment="1">
      <alignment horizontal="center" vertical="center" wrapText="1"/>
    </xf>
    <xf numFmtId="0" fontId="37" fillId="8" borderId="0" xfId="2" applyFont="1" applyFill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3" xfId="2" xr:uid="{27E2C533-6F30-1548-A932-1CBD0857B95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B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1">
              <a:defRPr sz="16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Body Weight = f(Feed Intake)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766432181052E-2"/>
          <c:y val="4.6036245469316332E-2"/>
          <c:w val="0.87928653694407599"/>
          <c:h val="0.8037342072945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'Instructiona &amp; Inputs'!$E$3:$E$4</c:f>
              <c:strCache>
                <c:ptCount val="2"/>
                <c:pt idx="0">
                  <c:v>Body</c:v>
                </c:pt>
                <c:pt idx="1">
                  <c:v>Weight</c:v>
                </c:pt>
              </c:strCache>
            </c:strRef>
          </c:tx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32813256551886238"/>
                  <c:y val="3.945463054871243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4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'Instructiona &amp; Inputs'!$D$5:$D$15</c:f>
              <c:numCache>
                <c:formatCode>General</c:formatCode>
                <c:ptCount val="11"/>
                <c:pt idx="0">
                  <c:v>0</c:v>
                </c:pt>
                <c:pt idx="1">
                  <c:v>0.153</c:v>
                </c:pt>
                <c:pt idx="2">
                  <c:v>0.499</c:v>
                </c:pt>
                <c:pt idx="3">
                  <c:v>1.0980000000000001</c:v>
                </c:pt>
                <c:pt idx="4">
                  <c:v>1.9770000000000001</c:v>
                </c:pt>
                <c:pt idx="5">
                  <c:v>3.1880000000000002</c:v>
                </c:pt>
                <c:pt idx="6">
                  <c:v>4.4749999999999996</c:v>
                </c:pt>
                <c:pt idx="7">
                  <c:v>5.9960000000000004</c:v>
                </c:pt>
                <c:pt idx="8">
                  <c:v>7.6239999999999997</c:v>
                </c:pt>
                <c:pt idx="9">
                  <c:v>9.2959999999999994</c:v>
                </c:pt>
                <c:pt idx="10">
                  <c:v>10.944000000000001</c:v>
                </c:pt>
              </c:numCache>
            </c:numRef>
          </c:xVal>
          <c:yVal>
            <c:numRef>
              <c:f>'Instructiona &amp; Inputs'!$E$5:$E$15</c:f>
              <c:numCache>
                <c:formatCode>General</c:formatCode>
                <c:ptCount val="11"/>
                <c:pt idx="0">
                  <c:v>4.2000000000000003E-2</c:v>
                </c:pt>
                <c:pt idx="1">
                  <c:v>0.17599999999999999</c:v>
                </c:pt>
                <c:pt idx="2">
                  <c:v>0.442</c:v>
                </c:pt>
                <c:pt idx="3">
                  <c:v>0.86399999999999999</c:v>
                </c:pt>
                <c:pt idx="4">
                  <c:v>1.3979999999999999</c:v>
                </c:pt>
                <c:pt idx="5">
                  <c:v>2.0049999999999999</c:v>
                </c:pt>
                <c:pt idx="6" formatCode="0.000">
                  <c:v>2.5</c:v>
                </c:pt>
                <c:pt idx="7">
                  <c:v>3.2639999999999998</c:v>
                </c:pt>
                <c:pt idx="8">
                  <c:v>3.8530000000000002</c:v>
                </c:pt>
                <c:pt idx="9">
                  <c:v>4.383</c:v>
                </c:pt>
                <c:pt idx="10">
                  <c:v>4.8360000000000003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1A-4F18-B43A-C6284D57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36496"/>
        <c:axId val="1"/>
      </c:scatterChart>
      <c:valAx>
        <c:axId val="72423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Feed Intake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Body Weight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4236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1">
              <a:defRPr sz="16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Feed Intake</a:t>
            </a:r>
            <a:r>
              <a:rPr lang="en-AU" baseline="0"/>
              <a:t> = f(Age)</a:t>
            </a:r>
            <a:endParaRPr lang="en-AU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'Instructiona &amp; Inputs'!$E$3:$E$4</c:f>
              <c:strCache>
                <c:ptCount val="2"/>
                <c:pt idx="0">
                  <c:v>Body</c:v>
                </c:pt>
                <c:pt idx="1">
                  <c:v>Weight</c:v>
                </c:pt>
              </c:strCache>
            </c:strRef>
          </c:tx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-0.22951254973725299"/>
                  <c:y val="0.1287846828272825"/>
                </c:manualLayout>
              </c:layout>
              <c:numFmt formatCode="General" sourceLinked="0"/>
            </c:trendlineLbl>
          </c:trendline>
          <c:xVal>
            <c:numRef>
              <c:f>'Instructiona &amp; Inputs'!$C$5:$C$15</c:f>
              <c:numCache>
                <c:formatCode>General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  <c:pt idx="7">
                  <c:v>49</c:v>
                </c:pt>
                <c:pt idx="8">
                  <c:v>56</c:v>
                </c:pt>
                <c:pt idx="9">
                  <c:v>63</c:v>
                </c:pt>
                <c:pt idx="10">
                  <c:v>70</c:v>
                </c:pt>
              </c:numCache>
            </c:numRef>
          </c:xVal>
          <c:yVal>
            <c:numRef>
              <c:f>'Instructiona &amp; Inputs'!$D$5:$D$15</c:f>
              <c:numCache>
                <c:formatCode>General</c:formatCode>
                <c:ptCount val="11"/>
                <c:pt idx="0">
                  <c:v>0</c:v>
                </c:pt>
                <c:pt idx="1">
                  <c:v>0.153</c:v>
                </c:pt>
                <c:pt idx="2">
                  <c:v>0.499</c:v>
                </c:pt>
                <c:pt idx="3">
                  <c:v>1.0980000000000001</c:v>
                </c:pt>
                <c:pt idx="4">
                  <c:v>1.9770000000000001</c:v>
                </c:pt>
                <c:pt idx="5">
                  <c:v>3.1880000000000002</c:v>
                </c:pt>
                <c:pt idx="6">
                  <c:v>4.4749999999999996</c:v>
                </c:pt>
                <c:pt idx="7">
                  <c:v>5.9960000000000004</c:v>
                </c:pt>
                <c:pt idx="8">
                  <c:v>7.6239999999999997</c:v>
                </c:pt>
                <c:pt idx="9">
                  <c:v>9.2959999999999994</c:v>
                </c:pt>
                <c:pt idx="10">
                  <c:v>10.944000000000001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FB-E244-A852-E9E9A055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36496"/>
        <c:axId val="1"/>
      </c:scatterChart>
      <c:valAx>
        <c:axId val="72423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Feed Intake 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Age</a:t>
                </a:r>
                <a:r>
                  <a:rPr lang="en-AU" baseline="0"/>
                  <a:t> (Days)</a:t>
                </a:r>
                <a:endParaRPr lang="en-AU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4236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0.11025384600647546"/>
                  <c:y val="8.849643794525683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'Feed Needs'!$B$101:$B$163</c:f>
            </c:numRef>
          </c:xVal>
          <c:yVal>
            <c:numRef>
              <c:f>'Feed Needs'!$F$101:$F$163</c:f>
            </c:numRef>
          </c:yVal>
          <c:smooth val="0"/>
          <c:extLst>
            <c:ext xmlns:c16="http://schemas.microsoft.com/office/drawing/2014/chart" uri="{C3380CC4-5D6E-409C-BE32-E72D297353CC}">
              <c16:uniqueId val="{00000000-4435-7845-AF23-887BC781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16928"/>
        <c:axId val="646800160"/>
      </c:scatterChart>
      <c:valAx>
        <c:axId val="64641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800160"/>
        <c:crosses val="autoZero"/>
        <c:crossBetween val="midCat"/>
      </c:valAx>
      <c:valAx>
        <c:axId val="6468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16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5945537065053"/>
          <c:y val="0.11163895486935867"/>
          <c:w val="0.77609682299546146"/>
          <c:h val="0.71971496437054627"/>
        </c:manualLayout>
      </c:layout>
      <c:scatterChart>
        <c:scatterStyle val="lineMarker"/>
        <c:varyColors val="0"/>
        <c:ser>
          <c:idx val="0"/>
          <c:order val="0"/>
          <c:tx>
            <c:v>STANDARD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(WC!$Y$10:$Y$40,WC!$F$23,WC!$F$21,WC!$F$23,WC!$F$21)</c:f>
              <c:numCache>
                <c:formatCode>0.0_)</c:formatCode>
                <c:ptCount val="35"/>
                <c:pt idx="0">
                  <c:v>1.4693679385278594E-39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WC!$Z$10:$Z$40</c:f>
              <c:numCache>
                <c:formatCode>0.000_)</c:formatCode>
                <c:ptCount val="31"/>
                <c:pt idx="0">
                  <c:v>0.11687712051692645</c:v>
                </c:pt>
                <c:pt idx="1">
                  <c:v>0.43218098692461615</c:v>
                </c:pt>
                <c:pt idx="2">
                  <c:v>0.73781473075096971</c:v>
                </c:pt>
                <c:pt idx="3">
                  <c:v>1.0337783519959869</c:v>
                </c:pt>
                <c:pt idx="4">
                  <c:v>1.3200718506596678</c:v>
                </c:pt>
                <c:pt idx="5">
                  <c:v>1.5966952267420127</c:v>
                </c:pt>
                <c:pt idx="6">
                  <c:v>1.8636484802430215</c:v>
                </c:pt>
                <c:pt idx="7">
                  <c:v>2.1209316111626939</c:v>
                </c:pt>
                <c:pt idx="8">
                  <c:v>2.36854461950103</c:v>
                </c:pt>
                <c:pt idx="9">
                  <c:v>2.6064875052580296</c:v>
                </c:pt>
                <c:pt idx="10">
                  <c:v>2.8347602684336932</c:v>
                </c:pt>
                <c:pt idx="11">
                  <c:v>3.0533629090280212</c:v>
                </c:pt>
                <c:pt idx="12">
                  <c:v>3.2622954270410123</c:v>
                </c:pt>
                <c:pt idx="13">
                  <c:v>3.4615578224726677</c:v>
                </c:pt>
                <c:pt idx="14">
                  <c:v>3.6511500953229872</c:v>
                </c:pt>
                <c:pt idx="15">
                  <c:v>3.8310722455919692</c:v>
                </c:pt>
                <c:pt idx="16">
                  <c:v>4.0013242732796162</c:v>
                </c:pt>
                <c:pt idx="17">
                  <c:v>4.1619061783859266</c:v>
                </c:pt>
                <c:pt idx="18">
                  <c:v>4.3128179609109001</c:v>
                </c:pt>
                <c:pt idx="19">
                  <c:v>4.4540596208545384</c:v>
                </c:pt>
                <c:pt idx="20">
                  <c:v>4.585631158216839</c:v>
                </c:pt>
                <c:pt idx="21">
                  <c:v>4.7075325729978044</c:v>
                </c:pt>
                <c:pt idx="22">
                  <c:v>4.8197638651974337</c:v>
                </c:pt>
                <c:pt idx="23">
                  <c:v>4.9223250348157261</c:v>
                </c:pt>
                <c:pt idx="24">
                  <c:v>5.0152160818526834</c:v>
                </c:pt>
                <c:pt idx="25">
                  <c:v>5.0984370063083038</c:v>
                </c:pt>
                <c:pt idx="26">
                  <c:v>5.1719878081825881</c:v>
                </c:pt>
                <c:pt idx="27">
                  <c:v>5.2358684874755355</c:v>
                </c:pt>
                <c:pt idx="28">
                  <c:v>5.2900790441871486</c:v>
                </c:pt>
                <c:pt idx="29">
                  <c:v>5.334619478317423</c:v>
                </c:pt>
                <c:pt idx="30">
                  <c:v>5.3694897898663623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8-CF45-934D-9730A6680F41}"/>
            </c:ext>
          </c:extLst>
        </c:ser>
        <c:ser>
          <c:idx val="1"/>
          <c:order val="1"/>
          <c:tx>
            <c:v>ADJUSTED CURVE</c:v>
          </c:tx>
          <c:spPr>
            <a:ln w="381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WC!$Y$10:$Y$40</c:f>
              <c:numCache>
                <c:formatCode>0.0_)</c:formatCode>
                <c:ptCount val="31"/>
                <c:pt idx="0">
                  <c:v>1.4693679385278594E-39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WC!$AA$10:$AA$40</c:f>
              <c:numCache>
                <c:formatCode>0.000_)</c:formatCode>
                <c:ptCount val="31"/>
                <c:pt idx="0">
                  <c:v>0.10223363413481994</c:v>
                </c:pt>
                <c:pt idx="1">
                  <c:v>0.37803320873975371</c:v>
                </c:pt>
                <c:pt idx="2">
                  <c:v>0.64537422644623954</c:v>
                </c:pt>
                <c:pt idx="3">
                  <c:v>0.90425668725427721</c:v>
                </c:pt>
                <c:pt idx="4">
                  <c:v>1.1546805911638669</c:v>
                </c:pt>
                <c:pt idx="5">
                  <c:v>1.3966459381750087</c:v>
                </c:pt>
                <c:pt idx="6">
                  <c:v>1.6301527282877026</c:v>
                </c:pt>
                <c:pt idx="7">
                  <c:v>1.8552009615019485</c:v>
                </c:pt>
                <c:pt idx="8">
                  <c:v>2.0717906378177462</c:v>
                </c:pt>
                <c:pt idx="9">
                  <c:v>2.2799217572350954</c:v>
                </c:pt>
                <c:pt idx="10">
                  <c:v>2.4795943197539971</c:v>
                </c:pt>
                <c:pt idx="11">
                  <c:v>2.670808325374451</c:v>
                </c:pt>
                <c:pt idx="12">
                  <c:v>2.8535637740964566</c:v>
                </c:pt>
                <c:pt idx="13">
                  <c:v>3.0278606659200147</c:v>
                </c:pt>
                <c:pt idx="14">
                  <c:v>3.1936990008451249</c:v>
                </c:pt>
                <c:pt idx="15">
                  <c:v>3.351078778871786</c:v>
                </c:pt>
                <c:pt idx="16">
                  <c:v>3.5</c:v>
                </c:pt>
                <c:pt idx="17">
                  <c:v>3.6404626642297657</c:v>
                </c:pt>
                <c:pt idx="18">
                  <c:v>3.7724667715610831</c:v>
                </c:pt>
                <c:pt idx="19">
                  <c:v>3.8960123219939531</c:v>
                </c:pt>
                <c:pt idx="20">
                  <c:v>4.0110993155283738</c:v>
                </c:pt>
                <c:pt idx="21">
                  <c:v>4.1177277521643472</c:v>
                </c:pt>
                <c:pt idx="22">
                  <c:v>4.2158976319018731</c:v>
                </c:pt>
                <c:pt idx="23">
                  <c:v>4.3056089547409506</c:v>
                </c:pt>
                <c:pt idx="24">
                  <c:v>4.3868617206815808</c:v>
                </c:pt>
                <c:pt idx="25">
                  <c:v>4.4596559297237617</c:v>
                </c:pt>
                <c:pt idx="26">
                  <c:v>4.5239915818674961</c:v>
                </c:pt>
                <c:pt idx="27">
                  <c:v>4.5798686771127803</c:v>
                </c:pt>
                <c:pt idx="28">
                  <c:v>4.627287215459619</c:v>
                </c:pt>
                <c:pt idx="29">
                  <c:v>4.6662471969080075</c:v>
                </c:pt>
                <c:pt idx="30">
                  <c:v>4.6967486214579495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8-CF45-934D-9730A6680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33168"/>
        <c:axId val="1"/>
      </c:scatterChart>
      <c:valAx>
        <c:axId val="724233168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FEED CONSUMPTION (kg)</a:t>
                </a:r>
              </a:p>
            </c:rich>
          </c:tx>
          <c:layout>
            <c:manualLayout>
              <c:xMode val="edge"/>
              <c:yMode val="edge"/>
              <c:x val="0.40242058548205817"/>
              <c:y val="0.916864668166518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BODY WEIGHT (Kg)</a:t>
                </a:r>
              </a:p>
            </c:rich>
          </c:tx>
          <c:layout>
            <c:manualLayout>
              <c:xMode val="edge"/>
              <c:yMode val="edge"/>
              <c:x val="7.2617246114451903E-2"/>
              <c:y val="0.266033362438677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24233168"/>
        <c:crosses val="autoZero"/>
        <c:crossBetween val="midCat"/>
      </c:valAx>
      <c:spPr>
        <a:solidFill>
          <a:srgbClr val="92D05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338571101355889"/>
          <c:y val="0.62515247743584423"/>
          <c:w val="0.41426403641881637"/>
          <c:h val="0.18138424821002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5945537065053"/>
          <c:y val="0.11163895486935867"/>
          <c:w val="0.77609682299546146"/>
          <c:h val="0.71971496437054627"/>
        </c:manualLayout>
      </c:layout>
      <c:scatterChart>
        <c:scatterStyle val="lineMarker"/>
        <c:varyColors val="0"/>
        <c:ser>
          <c:idx val="0"/>
          <c:order val="0"/>
          <c:tx>
            <c:v>STANDARD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(AC!$Z$10:$Z$40,AC!$F$23,AC!$F$21,AC!$F$23,AC!$F$21)</c:f>
              <c:numCache>
                <c:formatCode>0.000_)</c:formatCode>
                <c:ptCount val="35"/>
                <c:pt idx="0">
                  <c:v>-0.16397902097902239</c:v>
                </c:pt>
                <c:pt idx="1">
                  <c:v>-8.7824178440608372E-2</c:v>
                </c:pt>
                <c:pt idx="2">
                  <c:v>8.5180248323092414E-3</c:v>
                </c:pt>
                <c:pt idx="3">
                  <c:v>0.12504758883973047</c:v>
                </c:pt>
                <c:pt idx="4">
                  <c:v>0.2617645135816552</c:v>
                </c:pt>
                <c:pt idx="5">
                  <c:v>0.41866879905808363</c:v>
                </c:pt>
                <c:pt idx="6">
                  <c:v>0.59576044526901573</c:v>
                </c:pt>
                <c:pt idx="7">
                  <c:v>0.79303945221445138</c:v>
                </c:pt>
                <c:pt idx="8">
                  <c:v>1.0105058198943906</c:v>
                </c:pt>
                <c:pt idx="9">
                  <c:v>1.2481595483088335</c:v>
                </c:pt>
                <c:pt idx="10">
                  <c:v>1.5060006374577799</c:v>
                </c:pt>
                <c:pt idx="11">
                  <c:v>1.7840290873412297</c:v>
                </c:pt>
                <c:pt idx="12">
                  <c:v>2.0822448979591837</c:v>
                </c:pt>
                <c:pt idx="13">
                  <c:v>2.4006480693116408</c:v>
                </c:pt>
                <c:pt idx="14">
                  <c:v>2.7392386013986014</c:v>
                </c:pt>
                <c:pt idx="15">
                  <c:v>3.0980164942200648</c:v>
                </c:pt>
                <c:pt idx="16">
                  <c:v>3.4769817477760325</c:v>
                </c:pt>
                <c:pt idx="17">
                  <c:v>3.8761343620665034</c:v>
                </c:pt>
                <c:pt idx="18">
                  <c:v>4.2954743370914779</c:v>
                </c:pt>
                <c:pt idx="19">
                  <c:v>4.7350016728509559</c:v>
                </c:pt>
                <c:pt idx="20">
                  <c:v>5.1947163693449365</c:v>
                </c:pt>
                <c:pt idx="21">
                  <c:v>5.6746184265734216</c:v>
                </c:pt>
                <c:pt idx="22">
                  <c:v>6.1747078445364112</c:v>
                </c:pt>
                <c:pt idx="23">
                  <c:v>6.6949846232339034</c:v>
                </c:pt>
                <c:pt idx="24">
                  <c:v>7.2354487626658992</c:v>
                </c:pt>
                <c:pt idx="25">
                  <c:v>7.7961002628323977</c:v>
                </c:pt>
                <c:pt idx="26">
                  <c:v>8.3769391237334005</c:v>
                </c:pt>
                <c:pt idx="27">
                  <c:v>8.9779653453689079</c:v>
                </c:pt>
                <c:pt idx="28">
                  <c:v>9.5991789277389188</c:v>
                </c:pt>
                <c:pt idx="29">
                  <c:v>10.24057987084343</c:v>
                </c:pt>
                <c:pt idx="30">
                  <c:v>10.902168174682448</c:v>
                </c:pt>
              </c:numCache>
            </c:numRef>
          </c:xVal>
          <c:yVal>
            <c:numRef>
              <c:f>AC!$Y$10:$Y$40</c:f>
              <c:numCache>
                <c:formatCode>0.0_)</c:formatCode>
                <c:ptCount val="31"/>
                <c:pt idx="0">
                  <c:v>1.4693679385278594E-39</c:v>
                </c:pt>
                <c:pt idx="1">
                  <c:v>2.2999999999999998</c:v>
                </c:pt>
                <c:pt idx="2">
                  <c:v>4.5999999999999996</c:v>
                </c:pt>
                <c:pt idx="3">
                  <c:v>6.8999999999999995</c:v>
                </c:pt>
                <c:pt idx="4">
                  <c:v>9.1999999999999993</c:v>
                </c:pt>
                <c:pt idx="5">
                  <c:v>11.5</c:v>
                </c:pt>
                <c:pt idx="6">
                  <c:v>13.8</c:v>
                </c:pt>
                <c:pt idx="7">
                  <c:v>16.100000000000001</c:v>
                </c:pt>
                <c:pt idx="8">
                  <c:v>18.400000000000002</c:v>
                </c:pt>
                <c:pt idx="9">
                  <c:v>20.700000000000003</c:v>
                </c:pt>
                <c:pt idx="10">
                  <c:v>23.000000000000004</c:v>
                </c:pt>
                <c:pt idx="11">
                  <c:v>25.300000000000004</c:v>
                </c:pt>
                <c:pt idx="12">
                  <c:v>27.600000000000005</c:v>
                </c:pt>
                <c:pt idx="13">
                  <c:v>29.900000000000006</c:v>
                </c:pt>
                <c:pt idx="14">
                  <c:v>32.200000000000003</c:v>
                </c:pt>
                <c:pt idx="15">
                  <c:v>34.5</c:v>
                </c:pt>
                <c:pt idx="16">
                  <c:v>36.799999999999997</c:v>
                </c:pt>
                <c:pt idx="17">
                  <c:v>39.099999999999994</c:v>
                </c:pt>
                <c:pt idx="18">
                  <c:v>41.399999999999991</c:v>
                </c:pt>
                <c:pt idx="19">
                  <c:v>43.699999999999989</c:v>
                </c:pt>
                <c:pt idx="20">
                  <c:v>45.999999999999986</c:v>
                </c:pt>
                <c:pt idx="21">
                  <c:v>48.299999999999983</c:v>
                </c:pt>
                <c:pt idx="22">
                  <c:v>50.59999999999998</c:v>
                </c:pt>
                <c:pt idx="23">
                  <c:v>52.899999999999977</c:v>
                </c:pt>
                <c:pt idx="24">
                  <c:v>55.199999999999974</c:v>
                </c:pt>
                <c:pt idx="25">
                  <c:v>57.499999999999972</c:v>
                </c:pt>
                <c:pt idx="26">
                  <c:v>59.799999999999969</c:v>
                </c:pt>
                <c:pt idx="27">
                  <c:v>62.099999999999966</c:v>
                </c:pt>
                <c:pt idx="28">
                  <c:v>64.399999999999963</c:v>
                </c:pt>
                <c:pt idx="29">
                  <c:v>66.69999999999996</c:v>
                </c:pt>
                <c:pt idx="30">
                  <c:v>68.999999999999957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8-194F-83E0-2B5A024F600E}"/>
            </c:ext>
          </c:extLst>
        </c:ser>
        <c:ser>
          <c:idx val="1"/>
          <c:order val="1"/>
          <c:tx>
            <c:v>ADJUSTED CURVE</c:v>
          </c:tx>
          <c:spPr>
            <a:ln w="381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AC!$AA$10:$AA$40</c:f>
              <c:numCache>
                <c:formatCode>0.000_)</c:formatCode>
                <c:ptCount val="31"/>
                <c:pt idx="0">
                  <c:v>-0.29758992643695042</c:v>
                </c:pt>
                <c:pt idx="1">
                  <c:v>-0.15938374705182407</c:v>
                </c:pt>
                <c:pt idx="2">
                  <c:v>1.5458552978916174E-2</c:v>
                </c:pt>
                <c:pt idx="3">
                  <c:v>0.22693697365527027</c:v>
                </c:pt>
                <c:pt idx="4">
                  <c:v>0.47505151497723802</c:v>
                </c:pt>
                <c:pt idx="5">
                  <c:v>0.75980217694481977</c:v>
                </c:pt>
                <c:pt idx="6">
                  <c:v>1.0811889595580155</c:v>
                </c:pt>
                <c:pt idx="7">
                  <c:v>1.4392118628168251</c:v>
                </c:pt>
                <c:pt idx="8">
                  <c:v>1.8338708867212483</c:v>
                </c:pt>
                <c:pt idx="9">
                  <c:v>2.2651660312712858</c:v>
                </c:pt>
                <c:pt idx="10">
                  <c:v>2.7330972964669367</c:v>
                </c:pt>
                <c:pt idx="11">
                  <c:v>3.2376646823082011</c:v>
                </c:pt>
                <c:pt idx="12">
                  <c:v>3.7788681887950806</c:v>
                </c:pt>
                <c:pt idx="13">
                  <c:v>4.3567078159275727</c:v>
                </c:pt>
                <c:pt idx="14">
                  <c:v>4.9711835637056785</c:v>
                </c:pt>
                <c:pt idx="15">
                  <c:v>5.6222954321293974</c:v>
                </c:pt>
                <c:pt idx="16">
                  <c:v>6.3100434211987304</c:v>
                </c:pt>
                <c:pt idx="17">
                  <c:v>7.0344275309136775</c:v>
                </c:pt>
                <c:pt idx="18">
                  <c:v>7.7954477612742377</c:v>
                </c:pt>
                <c:pt idx="19">
                  <c:v>8.593104112280411</c:v>
                </c:pt>
                <c:pt idx="20">
                  <c:v>9.4273965839321985</c:v>
                </c:pt>
                <c:pt idx="21">
                  <c:v>10.2983251762296</c:v>
                </c:pt>
                <c:pt idx="22">
                  <c:v>11.205889889172617</c:v>
                </c:pt>
                <c:pt idx="23">
                  <c:v>12.150090722761245</c:v>
                </c:pt>
                <c:pt idx="24">
                  <c:v>13.130927676995489</c:v>
                </c:pt>
                <c:pt idx="25">
                  <c:v>14.148400751875345</c:v>
                </c:pt>
                <c:pt idx="26">
                  <c:v>15.202509947400815</c:v>
                </c:pt>
                <c:pt idx="27">
                  <c:v>16.293255263571901</c:v>
                </c:pt>
                <c:pt idx="28">
                  <c:v>17.420636700388599</c:v>
                </c:pt>
                <c:pt idx="29">
                  <c:v>18.584654257850907</c:v>
                </c:pt>
                <c:pt idx="30">
                  <c:v>19.785307935958834</c:v>
                </c:pt>
              </c:numCache>
            </c:numRef>
          </c:xVal>
          <c:yVal>
            <c:numRef>
              <c:f>AC!$Y$10:$Y$40</c:f>
              <c:numCache>
                <c:formatCode>0.0_)</c:formatCode>
                <c:ptCount val="31"/>
                <c:pt idx="0">
                  <c:v>1.4693679385278594E-39</c:v>
                </c:pt>
                <c:pt idx="1">
                  <c:v>2.2999999999999998</c:v>
                </c:pt>
                <c:pt idx="2">
                  <c:v>4.5999999999999996</c:v>
                </c:pt>
                <c:pt idx="3">
                  <c:v>6.8999999999999995</c:v>
                </c:pt>
                <c:pt idx="4">
                  <c:v>9.1999999999999993</c:v>
                </c:pt>
                <c:pt idx="5">
                  <c:v>11.5</c:v>
                </c:pt>
                <c:pt idx="6">
                  <c:v>13.8</c:v>
                </c:pt>
                <c:pt idx="7">
                  <c:v>16.100000000000001</c:v>
                </c:pt>
                <c:pt idx="8">
                  <c:v>18.400000000000002</c:v>
                </c:pt>
                <c:pt idx="9">
                  <c:v>20.700000000000003</c:v>
                </c:pt>
                <c:pt idx="10">
                  <c:v>23.000000000000004</c:v>
                </c:pt>
                <c:pt idx="11">
                  <c:v>25.300000000000004</c:v>
                </c:pt>
                <c:pt idx="12">
                  <c:v>27.600000000000005</c:v>
                </c:pt>
                <c:pt idx="13">
                  <c:v>29.900000000000006</c:v>
                </c:pt>
                <c:pt idx="14">
                  <c:v>32.200000000000003</c:v>
                </c:pt>
                <c:pt idx="15">
                  <c:v>34.5</c:v>
                </c:pt>
                <c:pt idx="16">
                  <c:v>36.799999999999997</c:v>
                </c:pt>
                <c:pt idx="17">
                  <c:v>39.099999999999994</c:v>
                </c:pt>
                <c:pt idx="18">
                  <c:v>41.399999999999991</c:v>
                </c:pt>
                <c:pt idx="19">
                  <c:v>43.699999999999989</c:v>
                </c:pt>
                <c:pt idx="20">
                  <c:v>45.999999999999986</c:v>
                </c:pt>
                <c:pt idx="21">
                  <c:v>48.299999999999983</c:v>
                </c:pt>
                <c:pt idx="22">
                  <c:v>50.59999999999998</c:v>
                </c:pt>
                <c:pt idx="23">
                  <c:v>52.899999999999977</c:v>
                </c:pt>
                <c:pt idx="24">
                  <c:v>55.199999999999974</c:v>
                </c:pt>
                <c:pt idx="25">
                  <c:v>57.499999999999972</c:v>
                </c:pt>
                <c:pt idx="26">
                  <c:v>59.799999999999969</c:v>
                </c:pt>
                <c:pt idx="27">
                  <c:v>62.099999999999966</c:v>
                </c:pt>
                <c:pt idx="28">
                  <c:v>64.399999999999963</c:v>
                </c:pt>
                <c:pt idx="29">
                  <c:v>66.69999999999996</c:v>
                </c:pt>
                <c:pt idx="30">
                  <c:v>68.999999999999957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8-194F-83E0-2B5A024F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33168"/>
        <c:axId val="1"/>
      </c:scatterChart>
      <c:valAx>
        <c:axId val="724233168"/>
        <c:scaling>
          <c:orientation val="minMax"/>
          <c:max val="12"/>
          <c:min val="0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 sz="1800" b="0" i="0" baseline="0">
                    <a:effectLst/>
                  </a:rPr>
                  <a:t>FEED CONSUMPTION (kg)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34379693135493222"/>
              <c:y val="0.91368361940229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 sz="1800" b="0" i="0" baseline="0">
                    <a:effectLst/>
                  </a:rPr>
                  <a:t>AGE (Days)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4.8359182337710131E-2"/>
              <c:y val="0.326473288958955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24233168"/>
        <c:crosses val="autoZero"/>
        <c:crossBetween val="midCat"/>
      </c:valAx>
      <c:spPr>
        <a:solidFill>
          <a:srgbClr val="92D05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338571101355889"/>
          <c:y val="0.62515247743584423"/>
          <c:w val="0.41426403641881637"/>
          <c:h val="0.18138424821002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WC!$I$83:$I$94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0.34</c:v>
                </c:pt>
                <c:pt idx="2">
                  <c:v>0.77</c:v>
                </c:pt>
                <c:pt idx="3">
                  <c:v>1.34</c:v>
                </c:pt>
                <c:pt idx="4">
                  <c:v>2.1</c:v>
                </c:pt>
                <c:pt idx="5">
                  <c:v>3.12</c:v>
                </c:pt>
                <c:pt idx="6">
                  <c:v>4.37</c:v>
                </c:pt>
                <c:pt idx="7">
                  <c:v>5.79</c:v>
                </c:pt>
                <c:pt idx="8">
                  <c:v>7.41</c:v>
                </c:pt>
                <c:pt idx="9">
                  <c:v>9.2200000000000006</c:v>
                </c:pt>
                <c:pt idx="10">
                  <c:v>11.11</c:v>
                </c:pt>
                <c:pt idx="11">
                  <c:v>13.01</c:v>
                </c:pt>
              </c:numCache>
            </c:numRef>
          </c:xVal>
          <c:yVal>
            <c:numRef>
              <c:f>WC!$J$83:$J$94</c:f>
              <c:numCache>
                <c:formatCode>General</c:formatCode>
                <c:ptCount val="12"/>
                <c:pt idx="0">
                  <c:v>0.13</c:v>
                </c:pt>
                <c:pt idx="1">
                  <c:v>0.3</c:v>
                </c:pt>
                <c:pt idx="2">
                  <c:v>0.62</c:v>
                </c:pt>
                <c:pt idx="3">
                  <c:v>1.03</c:v>
                </c:pt>
                <c:pt idx="4">
                  <c:v>1.5</c:v>
                </c:pt>
                <c:pt idx="5">
                  <c:v>2.09</c:v>
                </c:pt>
                <c:pt idx="6">
                  <c:v>2.77</c:v>
                </c:pt>
                <c:pt idx="7">
                  <c:v>3.51</c:v>
                </c:pt>
                <c:pt idx="8">
                  <c:v>4.3099999999999996</c:v>
                </c:pt>
                <c:pt idx="9">
                  <c:v>5.15</c:v>
                </c:pt>
                <c:pt idx="10">
                  <c:v>5.91</c:v>
                </c:pt>
                <c:pt idx="11">
                  <c:v>6.64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7-3E4D-8176-315FE84AF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43152"/>
        <c:axId val="1"/>
      </c:scatterChart>
      <c:valAx>
        <c:axId val="7242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7242431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869574820663922"/>
          <c:y val="0.41326318909401571"/>
          <c:w val="0.21130025306154063"/>
          <c:h val="0.151424679973379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AC!$I$83:$I$94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0.34</c:v>
                </c:pt>
                <c:pt idx="2">
                  <c:v>0.77</c:v>
                </c:pt>
                <c:pt idx="3">
                  <c:v>1.34</c:v>
                </c:pt>
                <c:pt idx="4">
                  <c:v>2.1</c:v>
                </c:pt>
                <c:pt idx="5">
                  <c:v>3.12</c:v>
                </c:pt>
                <c:pt idx="6">
                  <c:v>4.37</c:v>
                </c:pt>
                <c:pt idx="7">
                  <c:v>5.79</c:v>
                </c:pt>
                <c:pt idx="8">
                  <c:v>7.41</c:v>
                </c:pt>
                <c:pt idx="9">
                  <c:v>9.2200000000000006</c:v>
                </c:pt>
                <c:pt idx="10">
                  <c:v>11.11</c:v>
                </c:pt>
                <c:pt idx="11">
                  <c:v>13.01</c:v>
                </c:pt>
              </c:numCache>
            </c:numRef>
          </c:xVal>
          <c:yVal>
            <c:numRef>
              <c:f>AC!$J$83:$J$94</c:f>
              <c:numCache>
                <c:formatCode>General</c:formatCode>
                <c:ptCount val="12"/>
                <c:pt idx="0">
                  <c:v>0.13</c:v>
                </c:pt>
                <c:pt idx="1">
                  <c:v>0.3</c:v>
                </c:pt>
                <c:pt idx="2">
                  <c:v>0.62</c:v>
                </c:pt>
                <c:pt idx="3">
                  <c:v>1.03</c:v>
                </c:pt>
                <c:pt idx="4">
                  <c:v>1.5</c:v>
                </c:pt>
                <c:pt idx="5">
                  <c:v>2.09</c:v>
                </c:pt>
                <c:pt idx="6">
                  <c:v>2.77</c:v>
                </c:pt>
                <c:pt idx="7">
                  <c:v>3.51</c:v>
                </c:pt>
                <c:pt idx="8">
                  <c:v>4.3099999999999996</c:v>
                </c:pt>
                <c:pt idx="9">
                  <c:v>5.15</c:v>
                </c:pt>
                <c:pt idx="10">
                  <c:v>5.91</c:v>
                </c:pt>
                <c:pt idx="11">
                  <c:v>6.64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3-47AD-9C87-EC1E967A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43152"/>
        <c:axId val="1"/>
      </c:scatterChart>
      <c:valAx>
        <c:axId val="72424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7242431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869574820663922"/>
          <c:y val="0.41326318909401571"/>
          <c:w val="0.21130025306154063"/>
          <c:h val="0.151424679973379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5945537065053"/>
          <c:y val="0.11163895486935867"/>
          <c:w val="0.77609682299546146"/>
          <c:h val="0.71971496437054627"/>
        </c:manualLayout>
      </c:layout>
      <c:scatterChart>
        <c:scatterStyle val="lineMarker"/>
        <c:varyColors val="0"/>
        <c:ser>
          <c:idx val="0"/>
          <c:order val="0"/>
          <c:tx>
            <c:v>STANDARD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(WC!$Y$10:$Y$40,WC!$F$23,WC!$F$21,WC!$F$23,WC!$F$21)</c:f>
              <c:numCache>
                <c:formatCode>0.0_)</c:formatCode>
                <c:ptCount val="35"/>
                <c:pt idx="0">
                  <c:v>1.4693679385278594E-39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WC!$Z$10:$Z$40</c:f>
              <c:numCache>
                <c:formatCode>0.000_)</c:formatCode>
                <c:ptCount val="31"/>
                <c:pt idx="0">
                  <c:v>0.11687712051692645</c:v>
                </c:pt>
                <c:pt idx="1">
                  <c:v>0.43218098692461615</c:v>
                </c:pt>
                <c:pt idx="2">
                  <c:v>0.73781473075096971</c:v>
                </c:pt>
                <c:pt idx="3">
                  <c:v>1.0337783519959869</c:v>
                </c:pt>
                <c:pt idx="4">
                  <c:v>1.3200718506596678</c:v>
                </c:pt>
                <c:pt idx="5">
                  <c:v>1.5966952267420127</c:v>
                </c:pt>
                <c:pt idx="6">
                  <c:v>1.8636484802430215</c:v>
                </c:pt>
                <c:pt idx="7">
                  <c:v>2.1209316111626939</c:v>
                </c:pt>
                <c:pt idx="8">
                  <c:v>2.36854461950103</c:v>
                </c:pt>
                <c:pt idx="9">
                  <c:v>2.6064875052580296</c:v>
                </c:pt>
                <c:pt idx="10">
                  <c:v>2.8347602684336932</c:v>
                </c:pt>
                <c:pt idx="11">
                  <c:v>3.0533629090280212</c:v>
                </c:pt>
                <c:pt idx="12">
                  <c:v>3.2622954270410123</c:v>
                </c:pt>
                <c:pt idx="13">
                  <c:v>3.4615578224726677</c:v>
                </c:pt>
                <c:pt idx="14">
                  <c:v>3.6511500953229872</c:v>
                </c:pt>
                <c:pt idx="15">
                  <c:v>3.8310722455919692</c:v>
                </c:pt>
                <c:pt idx="16">
                  <c:v>4.0013242732796162</c:v>
                </c:pt>
                <c:pt idx="17">
                  <c:v>4.1619061783859266</c:v>
                </c:pt>
                <c:pt idx="18">
                  <c:v>4.3128179609109001</c:v>
                </c:pt>
                <c:pt idx="19">
                  <c:v>4.4540596208545384</c:v>
                </c:pt>
                <c:pt idx="20">
                  <c:v>4.585631158216839</c:v>
                </c:pt>
                <c:pt idx="21">
                  <c:v>4.7075325729978044</c:v>
                </c:pt>
                <c:pt idx="22">
                  <c:v>4.8197638651974337</c:v>
                </c:pt>
                <c:pt idx="23">
                  <c:v>4.9223250348157261</c:v>
                </c:pt>
                <c:pt idx="24">
                  <c:v>5.0152160818526834</c:v>
                </c:pt>
                <c:pt idx="25">
                  <c:v>5.0984370063083038</c:v>
                </c:pt>
                <c:pt idx="26">
                  <c:v>5.1719878081825881</c:v>
                </c:pt>
                <c:pt idx="27">
                  <c:v>5.2358684874755355</c:v>
                </c:pt>
                <c:pt idx="28">
                  <c:v>5.2900790441871486</c:v>
                </c:pt>
                <c:pt idx="29">
                  <c:v>5.334619478317423</c:v>
                </c:pt>
                <c:pt idx="30">
                  <c:v>5.3694897898663623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A-9C49-BB51-CDD37A10B66C}"/>
            </c:ext>
          </c:extLst>
        </c:ser>
        <c:ser>
          <c:idx val="1"/>
          <c:order val="1"/>
          <c:tx>
            <c:v>OBSERVED POINT</c:v>
          </c:tx>
          <c:spPr>
            <a:ln w="38100">
              <a:noFill/>
              <a:prstDash val="sysDash"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xVal>
            <c:numRef>
              <c:f>WC!$Y$10:$Y$40</c:f>
              <c:numCache>
                <c:formatCode>0.0_)</c:formatCode>
                <c:ptCount val="31"/>
                <c:pt idx="0">
                  <c:v>1.4693679385278594E-39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WC!$AJ$10:$AJ$40</c:f>
              <c:numCache>
                <c:formatCode>General</c:formatCode>
                <c:ptCount val="31"/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A-9C49-BB51-CDD37A10B66C}"/>
            </c:ext>
          </c:extLst>
        </c:ser>
        <c:ser>
          <c:idx val="2"/>
          <c:order val="2"/>
          <c:tx>
            <c:v>ADJUSTED CURVE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WC!$Y$10:$Y$40</c:f>
              <c:numCache>
                <c:formatCode>0.0_)</c:formatCode>
                <c:ptCount val="31"/>
                <c:pt idx="0">
                  <c:v>1.4693679385278594E-39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WC!$AA$10:$AA$40</c:f>
              <c:numCache>
                <c:formatCode>0.000_)</c:formatCode>
                <c:ptCount val="31"/>
                <c:pt idx="0">
                  <c:v>0.10223363413481994</c:v>
                </c:pt>
                <c:pt idx="1">
                  <c:v>0.37803320873975371</c:v>
                </c:pt>
                <c:pt idx="2">
                  <c:v>0.64537422644623954</c:v>
                </c:pt>
                <c:pt idx="3">
                  <c:v>0.90425668725427721</c:v>
                </c:pt>
                <c:pt idx="4">
                  <c:v>1.1546805911638669</c:v>
                </c:pt>
                <c:pt idx="5">
                  <c:v>1.3966459381750087</c:v>
                </c:pt>
                <c:pt idx="6">
                  <c:v>1.6301527282877026</c:v>
                </c:pt>
                <c:pt idx="7">
                  <c:v>1.8552009615019485</c:v>
                </c:pt>
                <c:pt idx="8">
                  <c:v>2.0717906378177462</c:v>
                </c:pt>
                <c:pt idx="9">
                  <c:v>2.2799217572350954</c:v>
                </c:pt>
                <c:pt idx="10">
                  <c:v>2.4795943197539971</c:v>
                </c:pt>
                <c:pt idx="11">
                  <c:v>2.670808325374451</c:v>
                </c:pt>
                <c:pt idx="12">
                  <c:v>2.8535637740964566</c:v>
                </c:pt>
                <c:pt idx="13">
                  <c:v>3.0278606659200147</c:v>
                </c:pt>
                <c:pt idx="14">
                  <c:v>3.1936990008451249</c:v>
                </c:pt>
                <c:pt idx="15">
                  <c:v>3.351078778871786</c:v>
                </c:pt>
                <c:pt idx="16">
                  <c:v>3.5</c:v>
                </c:pt>
                <c:pt idx="17">
                  <c:v>3.6404626642297657</c:v>
                </c:pt>
                <c:pt idx="18">
                  <c:v>3.7724667715610831</c:v>
                </c:pt>
                <c:pt idx="19">
                  <c:v>3.8960123219939531</c:v>
                </c:pt>
                <c:pt idx="20">
                  <c:v>4.0110993155283738</c:v>
                </c:pt>
                <c:pt idx="21">
                  <c:v>4.1177277521643472</c:v>
                </c:pt>
                <c:pt idx="22">
                  <c:v>4.2158976319018731</c:v>
                </c:pt>
                <c:pt idx="23">
                  <c:v>4.3056089547409506</c:v>
                </c:pt>
                <c:pt idx="24">
                  <c:v>4.3868617206815808</c:v>
                </c:pt>
                <c:pt idx="25">
                  <c:v>4.4596559297237617</c:v>
                </c:pt>
                <c:pt idx="26">
                  <c:v>4.5239915818674961</c:v>
                </c:pt>
                <c:pt idx="27">
                  <c:v>4.5798686771127803</c:v>
                </c:pt>
                <c:pt idx="28">
                  <c:v>4.627287215459619</c:v>
                </c:pt>
                <c:pt idx="29">
                  <c:v>4.6662471969080075</c:v>
                </c:pt>
                <c:pt idx="30">
                  <c:v>4.6967486214579495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A-9C49-BB51-CDD37A10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233168"/>
        <c:axId val="1"/>
      </c:scatterChart>
      <c:valAx>
        <c:axId val="724233168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FEED CONSUMPTION (kg)</a:t>
                </a:r>
              </a:p>
            </c:rich>
          </c:tx>
          <c:layout>
            <c:manualLayout>
              <c:xMode val="edge"/>
              <c:yMode val="edge"/>
              <c:x val="0.40242058548205817"/>
              <c:y val="0.916864668166518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BODY WEIGHT (Kg)</a:t>
                </a:r>
              </a:p>
            </c:rich>
          </c:tx>
          <c:layout>
            <c:manualLayout>
              <c:xMode val="edge"/>
              <c:yMode val="edge"/>
              <c:x val="7.2617246114451903E-2"/>
              <c:y val="0.266033362438677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24233168"/>
        <c:crosses val="autoZero"/>
        <c:crossBetween val="midCat"/>
      </c:valAx>
      <c:spPr>
        <a:solidFill>
          <a:srgbClr val="92D05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3291087055728446"/>
          <c:y val="0.60924723361471844"/>
          <c:w val="0.27504696816383811"/>
          <c:h val="0.170726135747123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347E93-3348-C640-9C76-D5ACF5389F1B}">
  <sheetPr>
    <tabColor rgb="FFFFFF00"/>
  </sheetPr>
  <sheetViews>
    <sheetView zoomScale="188" workbookViewId="0"/>
  </sheetViews>
  <pageMargins left="2" right="2" top="2" bottom="2" header="0.5" footer="0.5"/>
  <pageSetup orientation="landscape" horizontalDpi="360" verticalDpi="36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69B03B-4284-034C-A334-CF3A9A9A516E}">
  <sheetPr>
    <tabColor theme="9" tint="-0.499984740745262"/>
  </sheetPr>
  <sheetViews>
    <sheetView zoomScale="188" workbookViewId="0"/>
  </sheetViews>
  <pageMargins left="2" right="2" top="2" bottom="2" header="0.5" footer="0.5"/>
  <pageSetup orientation="landscape" horizontalDpi="360" verticalDpi="36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8E689A-D3B9-EF4B-8AF8-89F27767CDA5}">
  <sheetPr/>
  <sheetViews>
    <sheetView zoomScale="188" workbookViewId="0"/>
  </sheetViews>
  <pageMargins left="2" right="2" top="2" bottom="2" header="0.5" footer="0.5"/>
  <pageSetup orientation="landscape" horizontalDpi="360" verticalDpi="36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73025</xdr:colOff>
      <xdr:row>0</xdr:row>
      <xdr:rowOff>63500</xdr:rowOff>
    </xdr:from>
    <xdr:to>
      <xdr:col>27</xdr:col>
      <xdr:colOff>558800</xdr:colOff>
      <xdr:row>10</xdr:row>
      <xdr:rowOff>317500</xdr:rowOff>
    </xdr:to>
    <xdr:graphicFrame macro="">
      <xdr:nvGraphicFramePr>
        <xdr:cNvPr id="22532" name="Chart 3">
          <a:extLst>
            <a:ext uri="{FF2B5EF4-FFF2-40B4-BE49-F238E27FC236}">
              <a16:creationId xmlns:a16="http://schemas.microsoft.com/office/drawing/2014/main" id="{2D998F64-6752-4275-8416-74FC0029B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10</xdr:row>
      <xdr:rowOff>330201</xdr:rowOff>
    </xdr:from>
    <xdr:to>
      <xdr:col>27</xdr:col>
      <xdr:colOff>587375</xdr:colOff>
      <xdr:row>27</xdr:row>
      <xdr:rowOff>215901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75E6FEC-EA8B-2449-86F4-F929B1E0B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98</xdr:row>
      <xdr:rowOff>1193800</xdr:rowOff>
    </xdr:from>
    <xdr:to>
      <xdr:col>18</xdr:col>
      <xdr:colOff>469900</xdr:colOff>
      <xdr:row>112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63A245-23D4-6E05-02E1-3B9F5C617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282447" cy="39923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8A58E7-C088-BE57-BC36-38140A3B10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282447" cy="39923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A5215D-3B48-BAD7-F37E-ECC37F91DE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82</xdr:row>
      <xdr:rowOff>57150</xdr:rowOff>
    </xdr:from>
    <xdr:to>
      <xdr:col>7</xdr:col>
      <xdr:colOff>438150</xdr:colOff>
      <xdr:row>101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85850CB-8C35-C540-AE17-35BD0344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82</xdr:row>
      <xdr:rowOff>57150</xdr:rowOff>
    </xdr:from>
    <xdr:to>
      <xdr:col>7</xdr:col>
      <xdr:colOff>438150</xdr:colOff>
      <xdr:row>101</xdr:row>
      <xdr:rowOff>66675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C1249763-E819-444A-8D43-1B961BDF5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282447" cy="39923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BD9786-120C-82F9-8105-CA759AB4C9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epesti/Desktop/junque%2022jan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puts"/>
      <sheetName val="Fiinding the Average"/>
      <sheetName val="Sale Day"/>
      <sheetName val="Feed Needs"/>
      <sheetName val="Weight Graph"/>
      <sheetName val="Age Graph"/>
      <sheetName val="WC"/>
      <sheetName val="AC"/>
      <sheetName val="Figure for Prose"/>
      <sheetName val="Pi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D47"/>
  <sheetViews>
    <sheetView tabSelected="1" workbookViewId="0">
      <selection activeCell="W33" sqref="W33"/>
    </sheetView>
  </sheetViews>
  <sheetFormatPr baseColWidth="10" defaultColWidth="8.83203125" defaultRowHeight="16"/>
  <cols>
    <col min="1" max="13" width="8.83203125" style="95"/>
    <col min="14" max="27" width="9" style="95" customWidth="1"/>
    <col min="28" max="54" width="8.83203125" style="97"/>
    <col min="55" max="56" width="8.83203125" style="94"/>
  </cols>
  <sheetData>
    <row r="1" spans="1:56" ht="43">
      <c r="E1" s="96"/>
      <c r="F1" s="96"/>
      <c r="G1" s="96"/>
      <c r="H1" s="96"/>
      <c r="I1" s="96"/>
      <c r="J1" s="96"/>
      <c r="K1" s="96"/>
      <c r="L1" s="96"/>
    </row>
    <row r="2" spans="1:56" ht="43">
      <c r="E2" s="96"/>
      <c r="F2" s="96"/>
      <c r="G2" s="96"/>
      <c r="H2" s="96"/>
      <c r="I2" s="96"/>
      <c r="J2" s="96"/>
      <c r="K2" s="96"/>
      <c r="L2" s="96"/>
    </row>
    <row r="3" spans="1:56" ht="108">
      <c r="E3" s="98" t="s">
        <v>58</v>
      </c>
      <c r="F3" s="96"/>
      <c r="G3" s="96"/>
      <c r="H3" s="96"/>
      <c r="I3" s="96"/>
      <c r="J3" s="99"/>
      <c r="K3" s="99"/>
      <c r="L3" s="99"/>
      <c r="M3" s="100"/>
      <c r="R3" s="100" t="s">
        <v>122</v>
      </c>
    </row>
    <row r="4" spans="1:56" ht="73">
      <c r="F4" s="99"/>
      <c r="G4" s="99"/>
      <c r="H4" s="99"/>
      <c r="I4" s="99"/>
      <c r="J4" s="99"/>
      <c r="L4" s="99"/>
      <c r="M4" s="100"/>
    </row>
    <row r="5" spans="1:56" ht="73">
      <c r="F5" s="187" t="s">
        <v>116</v>
      </c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</row>
    <row r="6" spans="1:56" ht="73">
      <c r="E6" s="100"/>
      <c r="F6" s="100"/>
      <c r="G6" s="100"/>
      <c r="H6" s="100"/>
      <c r="I6" s="100"/>
      <c r="J6" s="100"/>
      <c r="K6" s="100"/>
      <c r="L6" s="100"/>
      <c r="M6" s="100"/>
    </row>
    <row r="7" spans="1:56" ht="73">
      <c r="E7" s="101"/>
      <c r="G7" s="102"/>
      <c r="H7" s="102"/>
      <c r="I7" s="102"/>
      <c r="J7" s="101"/>
      <c r="K7" s="100" t="s">
        <v>61</v>
      </c>
      <c r="L7" s="100"/>
      <c r="M7" s="100"/>
    </row>
    <row r="8" spans="1:56" ht="73">
      <c r="E8" s="101"/>
      <c r="G8" s="102"/>
      <c r="H8" s="102"/>
      <c r="I8" s="102"/>
      <c r="J8" s="101"/>
      <c r="K8" s="100"/>
      <c r="L8" s="100"/>
      <c r="M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5"/>
    </row>
    <row r="9" spans="1:56" ht="73">
      <c r="E9" s="100"/>
      <c r="F9" s="100"/>
      <c r="G9" s="100"/>
      <c r="H9" s="100"/>
      <c r="I9" s="100"/>
      <c r="J9" s="100"/>
      <c r="K9" s="100"/>
      <c r="L9" s="100"/>
      <c r="M9" s="99" t="s">
        <v>76</v>
      </c>
      <c r="Q9" s="100"/>
      <c r="R9" s="100" t="s">
        <v>60</v>
      </c>
      <c r="S9" s="100"/>
      <c r="T9" s="100"/>
      <c r="U9" s="100"/>
      <c r="V9" s="100"/>
      <c r="W9" s="100"/>
      <c r="X9" s="100"/>
      <c r="Y9" s="100"/>
      <c r="Z9" s="100"/>
      <c r="AA9" s="100"/>
      <c r="AB9" s="105"/>
    </row>
    <row r="10" spans="1:56" ht="73">
      <c r="E10" s="103"/>
      <c r="F10" s="100"/>
      <c r="G10" s="100"/>
      <c r="H10" s="97"/>
      <c r="I10" s="100"/>
      <c r="J10" s="100"/>
      <c r="K10" s="100"/>
      <c r="M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5"/>
    </row>
    <row r="11" spans="1:56" ht="73">
      <c r="E11" s="100"/>
      <c r="F11" s="100"/>
      <c r="G11" s="100"/>
      <c r="H11" s="100"/>
      <c r="I11" s="100"/>
      <c r="J11" s="100"/>
      <c r="K11" s="100"/>
      <c r="L11" s="100" t="s">
        <v>59</v>
      </c>
      <c r="M11" s="100"/>
    </row>
    <row r="12" spans="1:56" ht="73"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56" ht="43">
      <c r="E13" s="96"/>
      <c r="F13" s="96"/>
      <c r="G13" s="96"/>
      <c r="H13" s="104"/>
      <c r="I13" s="96"/>
      <c r="J13" s="96"/>
      <c r="K13" s="96"/>
      <c r="L13" s="96"/>
    </row>
    <row r="14" spans="1:56" ht="43">
      <c r="E14" s="96"/>
      <c r="F14" s="96"/>
      <c r="G14" s="96"/>
      <c r="H14" s="96"/>
      <c r="I14" s="96"/>
      <c r="J14" s="96"/>
      <c r="K14" s="96"/>
      <c r="L14" s="96"/>
    </row>
    <row r="15" spans="1:56" s="14" customFormat="1" ht="43">
      <c r="A15" s="95"/>
      <c r="B15" s="95"/>
      <c r="C15" s="95"/>
      <c r="D15" s="95"/>
      <c r="E15" s="96"/>
      <c r="F15" s="96"/>
      <c r="G15" s="96"/>
      <c r="H15" s="96"/>
      <c r="I15" s="96"/>
      <c r="J15" s="96"/>
      <c r="K15" s="96"/>
      <c r="L15" s="96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4"/>
      <c r="BD15" s="94"/>
    </row>
    <row r="16" spans="1:56" s="14" customFormat="1" ht="43">
      <c r="A16" s="95"/>
      <c r="B16" s="95"/>
      <c r="C16" s="95"/>
      <c r="D16" s="95"/>
      <c r="E16" s="96"/>
      <c r="F16" s="96"/>
      <c r="G16" s="96"/>
      <c r="H16" s="96"/>
      <c r="I16" s="96"/>
      <c r="J16" s="96"/>
      <c r="K16" s="96"/>
      <c r="L16" s="96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4"/>
      <c r="BD16" s="94"/>
    </row>
    <row r="17" spans="1:56" s="14" customFormat="1" ht="43">
      <c r="A17" s="95"/>
      <c r="B17" s="95"/>
      <c r="C17" s="95"/>
      <c r="D17" s="95"/>
      <c r="E17" s="96"/>
      <c r="F17" s="96"/>
      <c r="G17" s="96"/>
      <c r="H17" s="96"/>
      <c r="I17" s="96"/>
      <c r="J17" s="96"/>
      <c r="K17" s="96"/>
      <c r="L17" s="96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4"/>
      <c r="BD17" s="94"/>
    </row>
    <row r="18" spans="1:56" s="14" customForma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4"/>
      <c r="BD18" s="94"/>
    </row>
    <row r="19" spans="1:56" s="14" customForma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4"/>
      <c r="BD19" s="94"/>
    </row>
    <row r="20" spans="1:56" s="14" customForma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4"/>
      <c r="BD20" s="94"/>
    </row>
    <row r="21" spans="1:56" s="14" customForma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4"/>
      <c r="BD21" s="94"/>
    </row>
    <row r="22" spans="1:56" s="14" customForma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4"/>
      <c r="BD22" s="94"/>
    </row>
    <row r="23" spans="1:56" s="14" customForma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4"/>
      <c r="BD23" s="94"/>
    </row>
    <row r="24" spans="1:56" s="14" customForma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4"/>
      <c r="BD24" s="94"/>
    </row>
    <row r="25" spans="1:56" s="14" customForma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4"/>
      <c r="BD25" s="94"/>
    </row>
    <row r="26" spans="1:56" s="14" customForma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4"/>
      <c r="BD26" s="94"/>
    </row>
    <row r="27" spans="1:56" s="14" customForma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4"/>
      <c r="BD27" s="94"/>
    </row>
    <row r="28" spans="1:56" s="14" customForma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4"/>
      <c r="BD28" s="94"/>
    </row>
    <row r="29" spans="1:56" s="14" customForma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4"/>
      <c r="BD29" s="94"/>
    </row>
    <row r="30" spans="1:56" s="14" customForma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4"/>
      <c r="BD30" s="94"/>
    </row>
    <row r="31" spans="1:56" s="14" customForma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4"/>
      <c r="BD31" s="94"/>
    </row>
    <row r="32" spans="1:56" s="14" customForma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4"/>
      <c r="BD32" s="94"/>
    </row>
    <row r="33" spans="1:56" s="14" customForma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4"/>
      <c r="BD33" s="94"/>
    </row>
    <row r="34" spans="1:56" s="14" customForma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4"/>
      <c r="BD34" s="94"/>
    </row>
    <row r="35" spans="1:56" s="14" customForma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4"/>
      <c r="BD35" s="94"/>
    </row>
    <row r="36" spans="1:56" s="14" customForma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4"/>
      <c r="BD36" s="94"/>
    </row>
    <row r="37" spans="1:56" s="14" customForma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4"/>
      <c r="BD37" s="94"/>
    </row>
    <row r="38" spans="1:56" s="14" customForma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4"/>
      <c r="BD38" s="94"/>
    </row>
    <row r="39" spans="1:56" s="14" customForma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4"/>
      <c r="BD39" s="94"/>
    </row>
    <row r="40" spans="1:56" s="14" customForma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4"/>
      <c r="BD40" s="94"/>
    </row>
    <row r="41" spans="1:56" s="14" customForma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4"/>
      <c r="BD41" s="94"/>
    </row>
    <row r="42" spans="1:56" s="14" customForma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4"/>
      <c r="BD42" s="94"/>
    </row>
    <row r="43" spans="1:56" s="14" customForma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4"/>
      <c r="BD43" s="94"/>
    </row>
    <row r="44" spans="1:56" s="14" customForma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4"/>
      <c r="BD44" s="94"/>
    </row>
    <row r="45" spans="1:56" s="14" customForma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4"/>
      <c r="BD45" s="94"/>
    </row>
    <row r="46" spans="1:56" s="14" customForma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4"/>
      <c r="BD46" s="94"/>
    </row>
    <row r="47" spans="1:56" s="14" customForma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4"/>
      <c r="BD47" s="94"/>
    </row>
  </sheetData>
  <printOptions gridLines="1" gridLinesSet="0"/>
  <pageMargins left="0.75" right="0.75" top="1" bottom="1" header="0.5" footer="0.5"/>
  <pageSetup orientation="portrait" horizontalDpi="360" verticalDpi="0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68"/>
  <sheetViews>
    <sheetView workbookViewId="0">
      <selection activeCell="O31" sqref="O31"/>
    </sheetView>
  </sheetViews>
  <sheetFormatPr baseColWidth="10" defaultColWidth="8.83203125" defaultRowHeight="21"/>
  <cols>
    <col min="1" max="2" width="9.1640625" style="78" customWidth="1"/>
    <col min="3" max="3" width="15.5" style="78" customWidth="1"/>
    <col min="4" max="4" width="22" style="78" customWidth="1"/>
    <col min="5" max="5" width="16.6640625" style="78" bestFit="1" customWidth="1"/>
    <col min="6" max="6" width="12" style="78" customWidth="1"/>
    <col min="7" max="26" width="9.1640625" style="78" customWidth="1"/>
    <col min="27" max="61" width="8.83203125" style="78"/>
    <col min="62" max="16384" width="8.83203125" style="65"/>
  </cols>
  <sheetData>
    <row r="1" spans="1:9" ht="31">
      <c r="A1" s="77" t="s">
        <v>115</v>
      </c>
      <c r="B1" s="77"/>
      <c r="C1" s="77"/>
      <c r="D1" s="77"/>
      <c r="E1" s="77"/>
      <c r="F1" s="77"/>
      <c r="G1" s="77"/>
      <c r="H1" s="77"/>
      <c r="I1" s="77"/>
    </row>
    <row r="2" spans="1:9" ht="16" customHeight="1" thickBot="1">
      <c r="A2" s="77"/>
      <c r="B2" s="77"/>
      <c r="C2" s="77"/>
      <c r="D2" s="77"/>
      <c r="E2" s="77"/>
      <c r="F2" s="77"/>
      <c r="G2" s="77"/>
      <c r="H2" s="77"/>
      <c r="I2" s="77"/>
    </row>
    <row r="3" spans="1:9" ht="31">
      <c r="A3" s="77"/>
      <c r="B3" s="77"/>
      <c r="C3" s="144" t="s">
        <v>33</v>
      </c>
      <c r="D3" s="145" t="s">
        <v>34</v>
      </c>
      <c r="E3" s="145" t="s">
        <v>37</v>
      </c>
      <c r="F3" s="77"/>
      <c r="G3" s="77"/>
      <c r="H3" s="77"/>
      <c r="I3" s="77"/>
    </row>
    <row r="4" spans="1:9" ht="31">
      <c r="A4" s="77"/>
      <c r="B4" s="77"/>
      <c r="C4" s="146" t="s">
        <v>35</v>
      </c>
      <c r="D4" s="147" t="s">
        <v>36</v>
      </c>
      <c r="E4" s="147" t="s">
        <v>38</v>
      </c>
      <c r="F4" s="77"/>
      <c r="G4" s="77"/>
      <c r="H4" s="77"/>
      <c r="I4" s="77"/>
    </row>
    <row r="5" spans="1:9" ht="31">
      <c r="A5" s="77"/>
      <c r="B5" s="77"/>
      <c r="C5" s="81">
        <v>0</v>
      </c>
      <c r="D5" s="137">
        <v>0</v>
      </c>
      <c r="E5" s="82">
        <v>4.2000000000000003E-2</v>
      </c>
      <c r="F5" s="77"/>
      <c r="G5" s="77"/>
      <c r="H5" s="77"/>
      <c r="I5" s="77"/>
    </row>
    <row r="6" spans="1:9" ht="31">
      <c r="A6" s="77"/>
      <c r="B6" s="77"/>
      <c r="C6" s="138">
        <f>C5+7</f>
        <v>7</v>
      </c>
      <c r="D6" s="137">
        <v>0.153</v>
      </c>
      <c r="E6" s="137">
        <v>0.17599999999999999</v>
      </c>
      <c r="F6" s="77"/>
      <c r="G6" s="77"/>
      <c r="H6" s="77"/>
      <c r="I6" s="77"/>
    </row>
    <row r="7" spans="1:9" ht="31">
      <c r="A7" s="77"/>
      <c r="B7" s="77"/>
      <c r="C7" s="138">
        <f t="shared" ref="C7:C15" si="0">C6+7</f>
        <v>14</v>
      </c>
      <c r="D7" s="137">
        <v>0.499</v>
      </c>
      <c r="E7" s="137">
        <v>0.442</v>
      </c>
      <c r="F7" s="77"/>
    </row>
    <row r="8" spans="1:9" ht="31">
      <c r="A8" s="77"/>
      <c r="B8" s="77"/>
      <c r="C8" s="138">
        <f t="shared" si="0"/>
        <v>21</v>
      </c>
      <c r="D8" s="137">
        <v>1.0980000000000001</v>
      </c>
      <c r="E8" s="137">
        <v>0.86399999999999999</v>
      </c>
      <c r="F8" s="77"/>
    </row>
    <row r="9" spans="1:9" ht="31">
      <c r="A9" s="77"/>
      <c r="B9" s="77"/>
      <c r="C9" s="138">
        <f t="shared" si="0"/>
        <v>28</v>
      </c>
      <c r="D9" s="137">
        <v>1.9770000000000001</v>
      </c>
      <c r="E9" s="137">
        <v>1.3979999999999999</v>
      </c>
      <c r="F9" s="77"/>
      <c r="G9" s="77"/>
      <c r="H9" s="77"/>
      <c r="I9" s="77"/>
    </row>
    <row r="10" spans="1:9" ht="31">
      <c r="A10" s="77"/>
      <c r="B10" s="77"/>
      <c r="C10" s="138">
        <f t="shared" si="0"/>
        <v>35</v>
      </c>
      <c r="D10" s="137">
        <v>3.1880000000000002</v>
      </c>
      <c r="E10" s="137">
        <v>2.0049999999999999</v>
      </c>
      <c r="F10" s="77"/>
      <c r="G10" s="77"/>
      <c r="H10" s="77"/>
      <c r="I10" s="77"/>
    </row>
    <row r="11" spans="1:9" ht="31">
      <c r="A11" s="77"/>
      <c r="B11" s="77"/>
      <c r="C11" s="138">
        <f t="shared" si="0"/>
        <v>42</v>
      </c>
      <c r="D11" s="137">
        <v>4.4749999999999996</v>
      </c>
      <c r="E11" s="189">
        <v>2.5</v>
      </c>
      <c r="F11" s="77"/>
      <c r="G11" s="77"/>
      <c r="H11" s="77"/>
      <c r="I11" s="77"/>
    </row>
    <row r="12" spans="1:9" ht="31">
      <c r="A12" s="77"/>
      <c r="B12" s="77"/>
      <c r="C12" s="138">
        <f t="shared" si="0"/>
        <v>49</v>
      </c>
      <c r="D12" s="137">
        <v>5.9960000000000004</v>
      </c>
      <c r="E12" s="137">
        <v>3.2639999999999998</v>
      </c>
      <c r="F12" s="77"/>
      <c r="G12" s="77"/>
      <c r="H12" s="77"/>
      <c r="I12" s="77"/>
    </row>
    <row r="13" spans="1:9" ht="31">
      <c r="A13" s="77"/>
      <c r="B13" s="77"/>
      <c r="C13" s="138">
        <f t="shared" si="0"/>
        <v>56</v>
      </c>
      <c r="D13" s="137">
        <v>7.6239999999999997</v>
      </c>
      <c r="E13" s="137">
        <v>3.8530000000000002</v>
      </c>
      <c r="F13" s="77"/>
      <c r="G13" s="77"/>
      <c r="H13" s="77"/>
      <c r="I13" s="77"/>
    </row>
    <row r="14" spans="1:9" ht="31">
      <c r="A14" s="77"/>
      <c r="B14" s="77"/>
      <c r="C14" s="138">
        <f t="shared" si="0"/>
        <v>63</v>
      </c>
      <c r="D14" s="137">
        <v>9.2959999999999994</v>
      </c>
      <c r="E14" s="137">
        <v>4.383</v>
      </c>
      <c r="F14" s="77"/>
      <c r="G14" s="77"/>
      <c r="H14" s="77"/>
      <c r="I14" s="77"/>
    </row>
    <row r="15" spans="1:9" ht="32" thickBot="1">
      <c r="A15" s="77"/>
      <c r="B15" s="77"/>
      <c r="C15" s="139">
        <f t="shared" si="0"/>
        <v>70</v>
      </c>
      <c r="D15" s="140">
        <v>10.944000000000001</v>
      </c>
      <c r="E15" s="140">
        <v>4.8360000000000003</v>
      </c>
      <c r="F15" s="77"/>
      <c r="G15" s="77"/>
      <c r="H15" s="77"/>
      <c r="I15" s="77"/>
    </row>
    <row r="16" spans="1:9" s="78" customFormat="1" ht="31">
      <c r="A16" s="77"/>
      <c r="B16" s="77"/>
      <c r="C16" s="149"/>
      <c r="D16" s="149"/>
      <c r="E16" s="149"/>
      <c r="F16" s="77"/>
      <c r="G16" s="77"/>
      <c r="H16" s="77"/>
      <c r="I16" s="77"/>
    </row>
    <row r="17" spans="1:16" s="78" customFormat="1" ht="31">
      <c r="A17" s="77"/>
      <c r="B17" s="77" t="s">
        <v>118</v>
      </c>
      <c r="C17" s="77"/>
      <c r="D17" s="77"/>
      <c r="I17" s="77"/>
    </row>
    <row r="18" spans="1:16" ht="16" customHeight="1">
      <c r="A18" s="77"/>
      <c r="B18" s="77"/>
      <c r="C18" s="77"/>
      <c r="D18" s="77"/>
      <c r="E18" s="77"/>
      <c r="F18" s="77"/>
      <c r="G18" s="77"/>
      <c r="H18" s="77"/>
      <c r="I18" s="77"/>
    </row>
    <row r="19" spans="1:16" ht="31">
      <c r="A19" s="77" t="s">
        <v>114</v>
      </c>
      <c r="B19" s="77"/>
      <c r="C19" s="77"/>
      <c r="D19" s="77"/>
      <c r="E19" s="77"/>
      <c r="F19" s="77"/>
      <c r="G19" s="77"/>
      <c r="H19" s="77"/>
      <c r="I19" s="77"/>
    </row>
    <row r="20" spans="1:16" ht="31">
      <c r="A20" s="77"/>
      <c r="B20" s="77" t="s">
        <v>113</v>
      </c>
      <c r="C20" s="77"/>
      <c r="D20" s="77"/>
      <c r="E20" s="77"/>
      <c r="F20" s="77"/>
      <c r="G20" s="77"/>
      <c r="H20" s="77"/>
      <c r="I20" s="77"/>
    </row>
    <row r="21" spans="1:16" ht="20" customHeight="1" thickBot="1">
      <c r="A21" s="77"/>
      <c r="B21" s="77"/>
      <c r="C21" s="77"/>
      <c r="D21" s="77"/>
      <c r="E21" s="77"/>
      <c r="F21" s="77"/>
      <c r="G21" s="77"/>
      <c r="H21" s="77"/>
      <c r="I21" s="77"/>
    </row>
    <row r="22" spans="1:16" ht="32" thickBot="1">
      <c r="A22" s="77"/>
      <c r="B22" s="77"/>
      <c r="C22" s="141">
        <v>42</v>
      </c>
      <c r="D22" s="142">
        <v>8</v>
      </c>
      <c r="E22" s="143">
        <v>3.5</v>
      </c>
      <c r="F22" s="77"/>
      <c r="G22" s="77"/>
      <c r="H22" s="77"/>
      <c r="I22" s="77"/>
    </row>
    <row r="23" spans="1:16" ht="18" customHeight="1">
      <c r="A23" s="77"/>
      <c r="B23" s="77"/>
      <c r="C23" s="77"/>
      <c r="D23" s="77"/>
      <c r="E23" s="77"/>
      <c r="F23" s="77"/>
      <c r="G23" s="77"/>
      <c r="H23" s="77"/>
      <c r="I23" s="77"/>
    </row>
    <row r="24" spans="1:16" ht="31">
      <c r="A24" s="194" t="s">
        <v>80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1:16" ht="31">
      <c r="A25" s="77"/>
      <c r="B25" s="77" t="s">
        <v>48</v>
      </c>
      <c r="C25" s="77"/>
      <c r="D25" s="77"/>
      <c r="E25" s="77"/>
      <c r="F25" s="77"/>
      <c r="G25" s="77"/>
      <c r="H25" s="77"/>
      <c r="I25" s="77"/>
      <c r="J25" s="77"/>
      <c r="K25" s="77"/>
    </row>
    <row r="26" spans="1:16" ht="17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6" ht="27" customHeight="1">
      <c r="A27" s="192" t="s">
        <v>105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6" ht="31">
      <c r="A28" s="193" t="s">
        <v>117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16" ht="3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53" spans="3:7">
      <c r="C53" s="79" t="s">
        <v>40</v>
      </c>
      <c r="D53" s="79" t="s">
        <v>51</v>
      </c>
      <c r="E53" s="79" t="s">
        <v>41</v>
      </c>
      <c r="F53" s="79" t="s">
        <v>42</v>
      </c>
      <c r="G53" s="79" t="s">
        <v>43</v>
      </c>
    </row>
    <row r="54" spans="3:7">
      <c r="C54" s="79">
        <f t="shared" ref="C54:C64" si="1">C5</f>
        <v>0</v>
      </c>
      <c r="D54" s="79">
        <f>C54^2</f>
        <v>0</v>
      </c>
      <c r="E54" s="79">
        <f t="shared" ref="E54:E64" si="2">D5</f>
        <v>0</v>
      </c>
      <c r="F54" s="79">
        <f>E54^2</f>
        <v>0</v>
      </c>
      <c r="G54" s="79">
        <f t="shared" ref="G54:G64" si="3">E5</f>
        <v>4.2000000000000003E-2</v>
      </c>
    </row>
    <row r="55" spans="3:7">
      <c r="C55" s="79">
        <f t="shared" si="1"/>
        <v>7</v>
      </c>
      <c r="D55" s="79">
        <f t="shared" ref="D55:D64" si="4">C55^2</f>
        <v>49</v>
      </c>
      <c r="E55" s="79">
        <f t="shared" si="2"/>
        <v>0.153</v>
      </c>
      <c r="F55" s="79">
        <f t="shared" ref="F55:F64" si="5">E55^2</f>
        <v>2.3408999999999999E-2</v>
      </c>
      <c r="G55" s="79">
        <f t="shared" si="3"/>
        <v>0.17599999999999999</v>
      </c>
    </row>
    <row r="56" spans="3:7">
      <c r="C56" s="79">
        <f t="shared" si="1"/>
        <v>14</v>
      </c>
      <c r="D56" s="79">
        <f t="shared" si="4"/>
        <v>196</v>
      </c>
      <c r="E56" s="79">
        <f t="shared" si="2"/>
        <v>0.499</v>
      </c>
      <c r="F56" s="79">
        <f t="shared" si="5"/>
        <v>0.249001</v>
      </c>
      <c r="G56" s="79">
        <f t="shared" si="3"/>
        <v>0.442</v>
      </c>
    </row>
    <row r="57" spans="3:7">
      <c r="C57" s="79">
        <f t="shared" si="1"/>
        <v>21</v>
      </c>
      <c r="D57" s="79">
        <f t="shared" si="4"/>
        <v>441</v>
      </c>
      <c r="E57" s="79">
        <f t="shared" si="2"/>
        <v>1.0980000000000001</v>
      </c>
      <c r="F57" s="79">
        <f t="shared" si="5"/>
        <v>1.2056040000000001</v>
      </c>
      <c r="G57" s="79">
        <f t="shared" si="3"/>
        <v>0.86399999999999999</v>
      </c>
    </row>
    <row r="58" spans="3:7">
      <c r="C58" s="79">
        <f t="shared" si="1"/>
        <v>28</v>
      </c>
      <c r="D58" s="79">
        <f t="shared" si="4"/>
        <v>784</v>
      </c>
      <c r="E58" s="79">
        <f t="shared" si="2"/>
        <v>1.9770000000000001</v>
      </c>
      <c r="F58" s="79">
        <f t="shared" si="5"/>
        <v>3.9085290000000001</v>
      </c>
      <c r="G58" s="79">
        <f t="shared" si="3"/>
        <v>1.3979999999999999</v>
      </c>
    </row>
    <row r="59" spans="3:7">
      <c r="C59" s="79">
        <f t="shared" si="1"/>
        <v>35</v>
      </c>
      <c r="D59" s="79">
        <f t="shared" si="4"/>
        <v>1225</v>
      </c>
      <c r="E59" s="79">
        <f t="shared" si="2"/>
        <v>3.1880000000000002</v>
      </c>
      <c r="F59" s="79">
        <f t="shared" si="5"/>
        <v>10.163344</v>
      </c>
      <c r="G59" s="79">
        <f t="shared" si="3"/>
        <v>2.0049999999999999</v>
      </c>
    </row>
    <row r="60" spans="3:7">
      <c r="C60" s="79">
        <f t="shared" si="1"/>
        <v>42</v>
      </c>
      <c r="D60" s="79">
        <f t="shared" si="4"/>
        <v>1764</v>
      </c>
      <c r="E60" s="79">
        <f t="shared" si="2"/>
        <v>4.4749999999999996</v>
      </c>
      <c r="F60" s="79">
        <f t="shared" si="5"/>
        <v>20.025624999999998</v>
      </c>
      <c r="G60" s="79">
        <f t="shared" si="3"/>
        <v>2.5</v>
      </c>
    </row>
    <row r="61" spans="3:7">
      <c r="C61" s="79">
        <f t="shared" si="1"/>
        <v>49</v>
      </c>
      <c r="D61" s="79">
        <f t="shared" si="4"/>
        <v>2401</v>
      </c>
      <c r="E61" s="79">
        <f t="shared" si="2"/>
        <v>5.9960000000000004</v>
      </c>
      <c r="F61" s="79">
        <f t="shared" si="5"/>
        <v>35.952016000000008</v>
      </c>
      <c r="G61" s="79">
        <f t="shared" si="3"/>
        <v>3.2639999999999998</v>
      </c>
    </row>
    <row r="62" spans="3:7">
      <c r="C62" s="79">
        <f t="shared" si="1"/>
        <v>56</v>
      </c>
      <c r="D62" s="79">
        <f t="shared" si="4"/>
        <v>3136</v>
      </c>
      <c r="E62" s="79">
        <f t="shared" si="2"/>
        <v>7.6239999999999997</v>
      </c>
      <c r="F62" s="79">
        <f t="shared" si="5"/>
        <v>58.125375999999996</v>
      </c>
      <c r="G62" s="79">
        <f t="shared" si="3"/>
        <v>3.8530000000000002</v>
      </c>
    </row>
    <row r="63" spans="3:7">
      <c r="C63" s="79">
        <f t="shared" si="1"/>
        <v>63</v>
      </c>
      <c r="D63" s="79">
        <f t="shared" si="4"/>
        <v>3969</v>
      </c>
      <c r="E63" s="79">
        <f t="shared" si="2"/>
        <v>9.2959999999999994</v>
      </c>
      <c r="F63" s="79">
        <f t="shared" si="5"/>
        <v>86.415615999999986</v>
      </c>
      <c r="G63" s="79">
        <f t="shared" si="3"/>
        <v>4.383</v>
      </c>
    </row>
    <row r="64" spans="3:7">
      <c r="C64" s="79">
        <f t="shared" si="1"/>
        <v>70</v>
      </c>
      <c r="D64" s="79">
        <f t="shared" si="4"/>
        <v>4900</v>
      </c>
      <c r="E64" s="79">
        <f t="shared" si="2"/>
        <v>10.944000000000001</v>
      </c>
      <c r="F64" s="79">
        <f t="shared" si="5"/>
        <v>119.77113600000001</v>
      </c>
      <c r="G64" s="79">
        <f t="shared" si="3"/>
        <v>4.8360000000000003</v>
      </c>
    </row>
    <row r="66" spans="3:6">
      <c r="D66" s="80" t="s">
        <v>8</v>
      </c>
      <c r="E66" s="80" t="s">
        <v>6</v>
      </c>
      <c r="F66" s="80" t="s">
        <v>39</v>
      </c>
    </row>
    <row r="67" spans="3:6">
      <c r="C67" s="79" t="s">
        <v>38</v>
      </c>
      <c r="D67" s="79">
        <f t="array" ref="D67:F67">LINEST(G54:G64,E54:F64)</f>
        <v>-1.934024516267244E-2</v>
      </c>
      <c r="E67" s="79">
        <v>0.64027785539671567</v>
      </c>
      <c r="F67" s="79">
        <v>0.11687712051692645</v>
      </c>
    </row>
    <row r="68" spans="3:6">
      <c r="C68" s="79" t="s">
        <v>33</v>
      </c>
      <c r="D68" s="79">
        <f t="array" ref="D68:F68">LINEST(E54:E64,C54:D64)</f>
        <v>1.9080681223538364E-3</v>
      </c>
      <c r="E68" s="79">
        <v>2.8722244422244452E-2</v>
      </c>
      <c r="F68" s="79">
        <v>-0.16397902097902239</v>
      </c>
    </row>
  </sheetData>
  <mergeCells count="3">
    <mergeCell ref="A27:L27"/>
    <mergeCell ref="A28:M28"/>
    <mergeCell ref="A24:P24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2B72-E5E7-C842-8158-9E08A8675B9C}">
  <sheetPr>
    <tabColor theme="8"/>
  </sheetPr>
  <dimension ref="A1:AM39"/>
  <sheetViews>
    <sheetView zoomScale="90" zoomScaleNormal="90" workbookViewId="0">
      <selection activeCell="Q7" sqref="Q7:U10"/>
    </sheetView>
  </sheetViews>
  <sheetFormatPr baseColWidth="10" defaultRowHeight="26"/>
  <cols>
    <col min="1" max="1" width="10.83203125" style="175"/>
    <col min="2" max="2" width="10.83203125" style="176"/>
    <col min="3" max="10" width="16.1640625" style="176" customWidth="1"/>
    <col min="11" max="11" width="10.83203125" style="176"/>
    <col min="12" max="12" width="16.1640625" style="176" customWidth="1"/>
    <col min="13" max="14" width="10.83203125" style="176"/>
    <col min="15" max="15" width="16.1640625" style="176" customWidth="1"/>
    <col min="16" max="18" width="10.83203125" style="176"/>
    <col min="19" max="19" width="13.6640625" style="176" customWidth="1"/>
    <col min="20" max="20" width="14.5" style="176" customWidth="1"/>
    <col min="21" max="28" width="10.83203125" style="176"/>
    <col min="29" max="39" width="10.83203125" style="175"/>
    <col min="40" max="16384" width="10.83203125" style="177"/>
  </cols>
  <sheetData>
    <row r="1" spans="2:32" ht="31" customHeight="1" thickBot="1"/>
    <row r="2" spans="2:32" ht="31" customHeight="1" thickBot="1">
      <c r="C2" s="197" t="s">
        <v>106</v>
      </c>
      <c r="D2" s="198"/>
      <c r="E2" s="198"/>
      <c r="F2" s="198"/>
      <c r="G2" s="198"/>
      <c r="H2" s="198"/>
      <c r="I2" s="198"/>
      <c r="J2" s="198"/>
      <c r="K2" s="199"/>
      <c r="L2" s="178"/>
    </row>
    <row r="3" spans="2:32" ht="37" thickBot="1">
      <c r="C3" s="200"/>
      <c r="D3" s="201"/>
      <c r="E3" s="201"/>
      <c r="F3" s="201"/>
      <c r="G3" s="201"/>
      <c r="H3" s="201"/>
      <c r="I3" s="201"/>
      <c r="J3" s="201"/>
      <c r="K3" s="202"/>
      <c r="L3" s="178"/>
      <c r="M3" s="203" t="s">
        <v>107</v>
      </c>
      <c r="N3" s="204"/>
      <c r="O3" s="204"/>
      <c r="P3" s="204"/>
      <c r="Q3" s="204"/>
      <c r="R3" s="204"/>
      <c r="S3" s="205"/>
      <c r="AC3" s="176"/>
      <c r="AD3" s="176"/>
      <c r="AE3" s="176"/>
      <c r="AF3" s="176"/>
    </row>
    <row r="4" spans="2:32" ht="31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</row>
    <row r="5" spans="2:32" ht="31">
      <c r="B5" s="180" t="s">
        <v>108</v>
      </c>
      <c r="C5" s="180" t="s">
        <v>38</v>
      </c>
      <c r="D5" s="181"/>
      <c r="E5" s="180" t="s">
        <v>108</v>
      </c>
      <c r="F5" s="180" t="s">
        <v>38</v>
      </c>
      <c r="G5" s="181"/>
      <c r="H5" s="180" t="s">
        <v>108</v>
      </c>
      <c r="I5" s="180" t="s">
        <v>38</v>
      </c>
      <c r="J5" s="181"/>
      <c r="K5" s="180" t="s">
        <v>108</v>
      </c>
      <c r="L5" s="180" t="s">
        <v>38</v>
      </c>
      <c r="M5" s="179"/>
      <c r="N5" s="180" t="s">
        <v>108</v>
      </c>
      <c r="O5" s="180" t="s">
        <v>38</v>
      </c>
      <c r="P5" s="179"/>
      <c r="Q5" s="179"/>
      <c r="R5" s="179"/>
      <c r="S5" s="179"/>
      <c r="T5" s="179"/>
      <c r="U5" s="179"/>
      <c r="V5" s="179"/>
      <c r="W5" s="179"/>
    </row>
    <row r="6" spans="2:32" ht="31">
      <c r="B6" s="183">
        <v>1</v>
      </c>
      <c r="C6" s="190">
        <v>2.42</v>
      </c>
      <c r="D6" s="184"/>
      <c r="E6" s="183">
        <v>21</v>
      </c>
      <c r="F6" s="191"/>
      <c r="G6" s="184"/>
      <c r="H6" s="183">
        <v>41</v>
      </c>
      <c r="I6" s="191"/>
      <c r="J6" s="184"/>
      <c r="K6" s="183">
        <v>61</v>
      </c>
      <c r="L6" s="191"/>
      <c r="M6" s="179"/>
      <c r="N6" s="183">
        <v>81</v>
      </c>
      <c r="O6" s="191"/>
      <c r="P6" s="179"/>
      <c r="Q6" s="179"/>
      <c r="R6" s="179"/>
      <c r="S6" s="179"/>
      <c r="T6" s="179"/>
      <c r="U6" s="179"/>
      <c r="V6" s="179"/>
      <c r="W6" s="179"/>
    </row>
    <row r="7" spans="2:32" ht="31">
      <c r="B7" s="183">
        <f>B6+1</f>
        <v>2</v>
      </c>
      <c r="C7" s="190">
        <v>2.42</v>
      </c>
      <c r="D7" s="184"/>
      <c r="E7" s="183">
        <f>E6+1</f>
        <v>22</v>
      </c>
      <c r="F7" s="191"/>
      <c r="G7" s="184"/>
      <c r="H7" s="183">
        <f>H6+1</f>
        <v>42</v>
      </c>
      <c r="I7" s="191"/>
      <c r="J7" s="184"/>
      <c r="K7" s="183">
        <f>K6+1</f>
        <v>62</v>
      </c>
      <c r="L7" s="191"/>
      <c r="M7" s="179"/>
      <c r="N7" s="183">
        <f>N6+1</f>
        <v>82</v>
      </c>
      <c r="O7" s="191"/>
      <c r="P7" s="179"/>
      <c r="Q7" s="207" t="s">
        <v>111</v>
      </c>
      <c r="R7" s="207"/>
      <c r="S7" s="207"/>
      <c r="T7" s="207"/>
      <c r="U7" s="207"/>
      <c r="V7" s="179"/>
      <c r="W7" s="179"/>
    </row>
    <row r="8" spans="2:32" ht="31">
      <c r="B8" s="183">
        <f t="shared" ref="B8:B25" si="0">B7+1</f>
        <v>3</v>
      </c>
      <c r="C8" s="190">
        <v>2.76</v>
      </c>
      <c r="D8" s="184"/>
      <c r="E8" s="183">
        <f t="shared" ref="E8:E25" si="1">E7+1</f>
        <v>23</v>
      </c>
      <c r="F8" s="191"/>
      <c r="G8" s="184"/>
      <c r="H8" s="183">
        <f t="shared" ref="H8:H25" si="2">H7+1</f>
        <v>43</v>
      </c>
      <c r="I8" s="191"/>
      <c r="J8" s="184"/>
      <c r="K8" s="183">
        <f t="shared" ref="K8:K25" si="3">K7+1</f>
        <v>63</v>
      </c>
      <c r="L8" s="191"/>
      <c r="M8" s="179"/>
      <c r="N8" s="183">
        <f t="shared" ref="N8:N25" si="4">N7+1</f>
        <v>83</v>
      </c>
      <c r="O8" s="191"/>
      <c r="P8" s="179"/>
      <c r="Q8" s="207"/>
      <c r="R8" s="207"/>
      <c r="S8" s="207"/>
      <c r="T8" s="207"/>
      <c r="U8" s="207"/>
      <c r="V8" s="179"/>
      <c r="W8" s="179"/>
    </row>
    <row r="9" spans="2:32" ht="31">
      <c r="B9" s="183">
        <f t="shared" si="0"/>
        <v>4</v>
      </c>
      <c r="C9" s="190">
        <v>2.36</v>
      </c>
      <c r="D9" s="184"/>
      <c r="E9" s="183">
        <f t="shared" si="1"/>
        <v>24</v>
      </c>
      <c r="F9" s="191"/>
      <c r="G9" s="184"/>
      <c r="H9" s="183">
        <f t="shared" si="2"/>
        <v>44</v>
      </c>
      <c r="I9" s="191"/>
      <c r="J9" s="184"/>
      <c r="K9" s="183">
        <f t="shared" si="3"/>
        <v>64</v>
      </c>
      <c r="L9" s="191"/>
      <c r="M9" s="179"/>
      <c r="N9" s="183">
        <f t="shared" si="4"/>
        <v>84</v>
      </c>
      <c r="O9" s="191"/>
      <c r="P9" s="179"/>
      <c r="Q9" s="207"/>
      <c r="R9" s="207"/>
      <c r="S9" s="207"/>
      <c r="T9" s="207"/>
      <c r="U9" s="207"/>
      <c r="V9" s="179"/>
      <c r="W9" s="179"/>
    </row>
    <row r="10" spans="2:32" ht="33" customHeight="1">
      <c r="B10" s="183">
        <f t="shared" si="0"/>
        <v>5</v>
      </c>
      <c r="C10" s="190">
        <v>2.38</v>
      </c>
      <c r="D10" s="184"/>
      <c r="E10" s="183">
        <f t="shared" si="1"/>
        <v>25</v>
      </c>
      <c r="F10" s="191"/>
      <c r="G10" s="184"/>
      <c r="H10" s="183">
        <f t="shared" si="2"/>
        <v>45</v>
      </c>
      <c r="I10" s="191"/>
      <c r="J10" s="184"/>
      <c r="K10" s="183">
        <f t="shared" si="3"/>
        <v>65</v>
      </c>
      <c r="L10" s="191"/>
      <c r="M10" s="179"/>
      <c r="N10" s="183">
        <f t="shared" si="4"/>
        <v>85</v>
      </c>
      <c r="O10" s="191"/>
      <c r="P10" s="179"/>
      <c r="Q10" s="207"/>
      <c r="R10" s="207"/>
      <c r="S10" s="207"/>
      <c r="T10" s="207"/>
      <c r="U10" s="207"/>
      <c r="V10" s="179"/>
      <c r="W10" s="179"/>
    </row>
    <row r="11" spans="2:32" ht="33" customHeight="1">
      <c r="B11" s="183">
        <f t="shared" si="0"/>
        <v>6</v>
      </c>
      <c r="C11" s="190">
        <v>2.4</v>
      </c>
      <c r="D11" s="184"/>
      <c r="E11" s="183">
        <f t="shared" si="1"/>
        <v>26</v>
      </c>
      <c r="F11" s="191"/>
      <c r="G11" s="184"/>
      <c r="H11" s="183">
        <f t="shared" si="2"/>
        <v>46</v>
      </c>
      <c r="I11" s="191"/>
      <c r="J11" s="184"/>
      <c r="K11" s="183">
        <f t="shared" si="3"/>
        <v>66</v>
      </c>
      <c r="L11" s="191"/>
      <c r="M11" s="179"/>
      <c r="N11" s="183">
        <f t="shared" si="4"/>
        <v>86</v>
      </c>
      <c r="O11" s="191"/>
      <c r="P11" s="179"/>
      <c r="U11" s="182"/>
      <c r="V11" s="179"/>
      <c r="W11" s="179"/>
    </row>
    <row r="12" spans="2:32" ht="31">
      <c r="B12" s="183">
        <f t="shared" si="0"/>
        <v>7</v>
      </c>
      <c r="C12" s="190">
        <v>2.42</v>
      </c>
      <c r="D12" s="184"/>
      <c r="E12" s="183">
        <f t="shared" si="1"/>
        <v>27</v>
      </c>
      <c r="F12" s="191"/>
      <c r="G12" s="184"/>
      <c r="H12" s="183">
        <f t="shared" si="2"/>
        <v>47</v>
      </c>
      <c r="I12" s="191"/>
      <c r="J12" s="184"/>
      <c r="K12" s="183">
        <f t="shared" si="3"/>
        <v>67</v>
      </c>
      <c r="L12" s="191"/>
      <c r="M12" s="179"/>
      <c r="N12" s="183">
        <f t="shared" si="4"/>
        <v>87</v>
      </c>
      <c r="O12" s="191"/>
      <c r="P12" s="179"/>
      <c r="Q12" s="206" t="s">
        <v>109</v>
      </c>
      <c r="R12" s="206"/>
      <c r="S12" s="206"/>
      <c r="T12" s="206"/>
      <c r="U12" s="206"/>
      <c r="V12" s="179"/>
      <c r="W12" s="179"/>
    </row>
    <row r="13" spans="2:32" ht="33">
      <c r="B13" s="183">
        <f t="shared" si="0"/>
        <v>8</v>
      </c>
      <c r="C13" s="190">
        <v>2.6</v>
      </c>
      <c r="D13" s="184"/>
      <c r="E13" s="183">
        <f t="shared" si="1"/>
        <v>28</v>
      </c>
      <c r="F13" s="191"/>
      <c r="G13" s="184"/>
      <c r="H13" s="183">
        <f t="shared" si="2"/>
        <v>48</v>
      </c>
      <c r="I13" s="191"/>
      <c r="J13" s="184"/>
      <c r="K13" s="183">
        <f t="shared" si="3"/>
        <v>68</v>
      </c>
      <c r="L13" s="191"/>
      <c r="M13" s="179"/>
      <c r="N13" s="183">
        <f t="shared" si="4"/>
        <v>88</v>
      </c>
      <c r="O13" s="191"/>
      <c r="P13" s="182"/>
      <c r="Q13" s="206"/>
      <c r="R13" s="206"/>
      <c r="S13" s="206"/>
      <c r="T13" s="206"/>
      <c r="U13" s="206"/>
      <c r="V13" s="182"/>
      <c r="W13" s="179"/>
    </row>
    <row r="14" spans="2:32" ht="33">
      <c r="B14" s="183">
        <f t="shared" si="0"/>
        <v>9</v>
      </c>
      <c r="C14" s="190">
        <v>2.2000000000000002</v>
      </c>
      <c r="D14" s="184"/>
      <c r="E14" s="183">
        <f t="shared" si="1"/>
        <v>29</v>
      </c>
      <c r="F14" s="191"/>
      <c r="G14" s="184"/>
      <c r="H14" s="183">
        <f t="shared" si="2"/>
        <v>49</v>
      </c>
      <c r="I14" s="191"/>
      <c r="J14" s="184"/>
      <c r="K14" s="183">
        <f t="shared" si="3"/>
        <v>69</v>
      </c>
      <c r="L14" s="191"/>
      <c r="M14" s="179"/>
      <c r="N14" s="183">
        <f t="shared" si="4"/>
        <v>89</v>
      </c>
      <c r="O14" s="191"/>
      <c r="P14" s="182"/>
      <c r="Q14" s="182"/>
      <c r="R14" s="182"/>
      <c r="S14" s="185"/>
      <c r="T14" s="182"/>
      <c r="U14" s="182"/>
      <c r="V14" s="182"/>
      <c r="W14" s="179"/>
    </row>
    <row r="15" spans="2:32" ht="33">
      <c r="B15" s="183">
        <f t="shared" si="0"/>
        <v>10</v>
      </c>
      <c r="C15" s="190">
        <v>2.36</v>
      </c>
      <c r="D15" s="184"/>
      <c r="E15" s="183">
        <f t="shared" si="1"/>
        <v>30</v>
      </c>
      <c r="F15" s="191"/>
      <c r="G15" s="184"/>
      <c r="H15" s="183">
        <f t="shared" si="2"/>
        <v>50</v>
      </c>
      <c r="I15" s="191"/>
      <c r="J15" s="184"/>
      <c r="K15" s="183">
        <f t="shared" si="3"/>
        <v>70</v>
      </c>
      <c r="L15" s="191"/>
      <c r="M15" s="179"/>
      <c r="N15" s="183">
        <f t="shared" si="4"/>
        <v>90</v>
      </c>
      <c r="O15" s="191"/>
      <c r="P15" s="182"/>
      <c r="Q15" s="182"/>
      <c r="R15" s="182"/>
      <c r="S15" s="195">
        <f>AVERAGE(C6:C25,F6:F25,I6:I25,L6:L25,O6:O25)</f>
        <v>2.4359999999999995</v>
      </c>
      <c r="T15" s="195"/>
      <c r="U15" s="182"/>
      <c r="V15" s="182"/>
      <c r="W15" s="179"/>
    </row>
    <row r="16" spans="2:32" ht="33" customHeight="1">
      <c r="B16" s="183">
        <f t="shared" si="0"/>
        <v>11</v>
      </c>
      <c r="C16" s="190">
        <v>2.4299999999999997</v>
      </c>
      <c r="D16" s="184"/>
      <c r="E16" s="183">
        <f t="shared" si="1"/>
        <v>31</v>
      </c>
      <c r="F16" s="191"/>
      <c r="G16" s="184"/>
      <c r="H16" s="183">
        <f t="shared" si="2"/>
        <v>51</v>
      </c>
      <c r="I16" s="191"/>
      <c r="J16" s="184"/>
      <c r="K16" s="183">
        <f t="shared" si="3"/>
        <v>71</v>
      </c>
      <c r="L16" s="191"/>
      <c r="M16" s="179"/>
      <c r="N16" s="183">
        <f t="shared" si="4"/>
        <v>91</v>
      </c>
      <c r="O16" s="191"/>
      <c r="P16" s="182"/>
      <c r="Q16" s="182"/>
      <c r="R16" s="182"/>
      <c r="S16" s="195"/>
      <c r="T16" s="195"/>
      <c r="U16" s="182"/>
      <c r="V16" s="182"/>
      <c r="W16" s="179"/>
    </row>
    <row r="17" spans="2:23" ht="33">
      <c r="B17" s="183">
        <f t="shared" si="0"/>
        <v>12</v>
      </c>
      <c r="C17" s="190">
        <v>2.41</v>
      </c>
      <c r="D17" s="184"/>
      <c r="E17" s="183">
        <f t="shared" si="1"/>
        <v>32</v>
      </c>
      <c r="F17" s="191"/>
      <c r="G17" s="184"/>
      <c r="H17" s="183">
        <f t="shared" si="2"/>
        <v>52</v>
      </c>
      <c r="I17" s="191"/>
      <c r="J17" s="184"/>
      <c r="K17" s="183">
        <f t="shared" si="3"/>
        <v>72</v>
      </c>
      <c r="L17" s="191"/>
      <c r="M17" s="179"/>
      <c r="N17" s="183">
        <f t="shared" si="4"/>
        <v>92</v>
      </c>
      <c r="O17" s="191"/>
      <c r="P17" s="182"/>
      <c r="Q17" s="206" t="s">
        <v>110</v>
      </c>
      <c r="R17" s="206"/>
      <c r="S17" s="206"/>
      <c r="T17" s="206"/>
      <c r="U17" s="206"/>
      <c r="V17" s="182"/>
      <c r="W17" s="179"/>
    </row>
    <row r="18" spans="2:23" ht="33">
      <c r="B18" s="183">
        <f t="shared" si="0"/>
        <v>13</v>
      </c>
      <c r="C18" s="190">
        <v>2.7699999999999996</v>
      </c>
      <c r="D18" s="184"/>
      <c r="E18" s="183">
        <f t="shared" si="1"/>
        <v>33</v>
      </c>
      <c r="F18" s="191"/>
      <c r="G18" s="184"/>
      <c r="H18" s="183">
        <f t="shared" si="2"/>
        <v>53</v>
      </c>
      <c r="I18" s="191"/>
      <c r="J18" s="184"/>
      <c r="K18" s="183">
        <f t="shared" si="3"/>
        <v>73</v>
      </c>
      <c r="L18" s="191"/>
      <c r="M18" s="179"/>
      <c r="N18" s="183">
        <f t="shared" si="4"/>
        <v>93</v>
      </c>
      <c r="O18" s="191"/>
      <c r="P18" s="182"/>
      <c r="Q18" s="206"/>
      <c r="R18" s="206"/>
      <c r="S18" s="206"/>
      <c r="T18" s="206"/>
      <c r="U18" s="206"/>
      <c r="V18" s="182"/>
      <c r="W18" s="179"/>
    </row>
    <row r="19" spans="2:23" ht="33">
      <c r="B19" s="183">
        <f t="shared" si="0"/>
        <v>14</v>
      </c>
      <c r="C19" s="190">
        <v>2.3699999999999997</v>
      </c>
      <c r="D19" s="184"/>
      <c r="E19" s="183">
        <f t="shared" si="1"/>
        <v>34</v>
      </c>
      <c r="F19" s="191"/>
      <c r="G19" s="184"/>
      <c r="H19" s="183">
        <f t="shared" si="2"/>
        <v>54</v>
      </c>
      <c r="I19" s="191"/>
      <c r="J19" s="184"/>
      <c r="K19" s="183">
        <f t="shared" si="3"/>
        <v>74</v>
      </c>
      <c r="L19" s="191"/>
      <c r="M19" s="179"/>
      <c r="N19" s="183">
        <f t="shared" si="4"/>
        <v>94</v>
      </c>
      <c r="O19" s="191"/>
      <c r="P19" s="182"/>
      <c r="Q19" s="182"/>
      <c r="R19" s="182"/>
      <c r="S19" s="182"/>
      <c r="T19" s="182"/>
      <c r="U19" s="182"/>
      <c r="V19" s="182"/>
      <c r="W19" s="179"/>
    </row>
    <row r="20" spans="2:23" ht="33">
      <c r="B20" s="183">
        <f t="shared" si="0"/>
        <v>15</v>
      </c>
      <c r="C20" s="190">
        <v>2.3899999999999997</v>
      </c>
      <c r="D20" s="184"/>
      <c r="E20" s="183">
        <f t="shared" si="1"/>
        <v>35</v>
      </c>
      <c r="F20" s="191"/>
      <c r="G20" s="184"/>
      <c r="H20" s="183">
        <f t="shared" si="2"/>
        <v>55</v>
      </c>
      <c r="I20" s="191"/>
      <c r="J20" s="184"/>
      <c r="K20" s="183">
        <f t="shared" si="3"/>
        <v>75</v>
      </c>
      <c r="L20" s="191"/>
      <c r="M20" s="179"/>
      <c r="N20" s="183">
        <f t="shared" si="4"/>
        <v>95</v>
      </c>
      <c r="O20" s="191"/>
      <c r="P20" s="182"/>
      <c r="Q20" s="186"/>
      <c r="R20" s="186"/>
      <c r="S20" s="195">
        <f>S15-T24</f>
        <v>2.289195439623394</v>
      </c>
      <c r="T20" s="195"/>
      <c r="U20" s="182"/>
      <c r="V20" s="182"/>
      <c r="W20" s="179"/>
    </row>
    <row r="21" spans="2:23" ht="33">
      <c r="B21" s="183">
        <f t="shared" si="0"/>
        <v>16</v>
      </c>
      <c r="C21" s="190">
        <v>2.4099999999999997</v>
      </c>
      <c r="D21" s="184"/>
      <c r="E21" s="183">
        <f t="shared" si="1"/>
        <v>36</v>
      </c>
      <c r="F21" s="191"/>
      <c r="G21" s="184"/>
      <c r="H21" s="183">
        <f t="shared" si="2"/>
        <v>56</v>
      </c>
      <c r="I21" s="191"/>
      <c r="J21" s="184"/>
      <c r="K21" s="183">
        <f t="shared" si="3"/>
        <v>76</v>
      </c>
      <c r="L21" s="191"/>
      <c r="M21" s="179"/>
      <c r="N21" s="183">
        <f t="shared" si="4"/>
        <v>96</v>
      </c>
      <c r="O21" s="191"/>
      <c r="P21" s="182"/>
      <c r="Q21" s="182"/>
      <c r="R21" s="182"/>
      <c r="S21" s="195"/>
      <c r="T21" s="195"/>
      <c r="U21" s="182"/>
      <c r="V21" s="182"/>
      <c r="W21" s="179"/>
    </row>
    <row r="22" spans="2:23" ht="33">
      <c r="B22" s="183">
        <f t="shared" si="0"/>
        <v>17</v>
      </c>
      <c r="C22" s="190">
        <v>2.4299999999999997</v>
      </c>
      <c r="D22" s="184"/>
      <c r="E22" s="183">
        <f t="shared" si="1"/>
        <v>37</v>
      </c>
      <c r="F22" s="191"/>
      <c r="G22" s="184"/>
      <c r="H22" s="183">
        <f t="shared" si="2"/>
        <v>57</v>
      </c>
      <c r="I22" s="191"/>
      <c r="J22" s="184"/>
      <c r="K22" s="183">
        <f t="shared" si="3"/>
        <v>77</v>
      </c>
      <c r="L22" s="191"/>
      <c r="M22" s="179"/>
      <c r="N22" s="183">
        <f t="shared" si="4"/>
        <v>97</v>
      </c>
      <c r="O22" s="191"/>
      <c r="P22" s="182"/>
      <c r="R22" s="186"/>
      <c r="S22" s="186"/>
      <c r="T22" s="186"/>
      <c r="U22" s="186"/>
      <c r="V22" s="182"/>
      <c r="W22" s="179"/>
    </row>
    <row r="23" spans="2:23" ht="33">
      <c r="B23" s="183">
        <f t="shared" si="0"/>
        <v>18</v>
      </c>
      <c r="C23" s="190">
        <v>2.61</v>
      </c>
      <c r="D23" s="184"/>
      <c r="E23" s="183">
        <f t="shared" si="1"/>
        <v>38</v>
      </c>
      <c r="F23" s="191"/>
      <c r="G23" s="184"/>
      <c r="H23" s="183">
        <f t="shared" si="2"/>
        <v>58</v>
      </c>
      <c r="I23" s="191"/>
      <c r="J23" s="184"/>
      <c r="K23" s="183">
        <f t="shared" si="3"/>
        <v>78</v>
      </c>
      <c r="L23" s="191"/>
      <c r="M23" s="179"/>
      <c r="N23" s="183">
        <f t="shared" si="4"/>
        <v>98</v>
      </c>
      <c r="O23" s="191"/>
      <c r="P23" s="182"/>
      <c r="R23" s="186"/>
      <c r="S23" s="186"/>
      <c r="T23" s="186"/>
      <c r="U23" s="186"/>
      <c r="V23" s="182"/>
      <c r="W23" s="179"/>
    </row>
    <row r="24" spans="2:23" ht="33">
      <c r="B24" s="183">
        <f t="shared" si="0"/>
        <v>19</v>
      </c>
      <c r="C24" s="190">
        <v>2.21</v>
      </c>
      <c r="D24" s="184"/>
      <c r="E24" s="183">
        <f t="shared" si="1"/>
        <v>39</v>
      </c>
      <c r="F24" s="191"/>
      <c r="G24" s="184"/>
      <c r="H24" s="183">
        <f t="shared" si="2"/>
        <v>59</v>
      </c>
      <c r="I24" s="191"/>
      <c r="J24" s="184"/>
      <c r="K24" s="183">
        <f t="shared" si="3"/>
        <v>79</v>
      </c>
      <c r="L24" s="191"/>
      <c r="M24" s="179"/>
      <c r="N24" s="183">
        <f t="shared" si="4"/>
        <v>99</v>
      </c>
      <c r="O24" s="191"/>
      <c r="P24" s="182"/>
      <c r="R24" s="182"/>
      <c r="S24" s="185" t="s">
        <v>112</v>
      </c>
      <c r="T24" s="196">
        <f>STDEV(C6:C25,L6:L25,O6:O25)</f>
        <v>0.1468045603766055</v>
      </c>
      <c r="U24" s="196"/>
      <c r="V24" s="182"/>
      <c r="W24" s="179"/>
    </row>
    <row r="25" spans="2:23" ht="33">
      <c r="B25" s="183">
        <f t="shared" si="0"/>
        <v>20</v>
      </c>
      <c r="C25" s="190">
        <v>2.3699999999999997</v>
      </c>
      <c r="D25" s="184"/>
      <c r="E25" s="183">
        <f t="shared" si="1"/>
        <v>40</v>
      </c>
      <c r="F25" s="191"/>
      <c r="G25" s="184"/>
      <c r="H25" s="183">
        <f t="shared" si="2"/>
        <v>60</v>
      </c>
      <c r="I25" s="191"/>
      <c r="J25" s="184"/>
      <c r="K25" s="183">
        <f t="shared" si="3"/>
        <v>80</v>
      </c>
      <c r="L25" s="191"/>
      <c r="M25" s="179"/>
      <c r="N25" s="183">
        <f t="shared" si="4"/>
        <v>100</v>
      </c>
      <c r="O25" s="191"/>
      <c r="P25" s="182"/>
      <c r="T25" s="196"/>
      <c r="U25" s="196"/>
      <c r="V25" s="182"/>
      <c r="W25" s="179"/>
    </row>
    <row r="26" spans="2:23" ht="33">
      <c r="B26" s="179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82"/>
      <c r="V26" s="179"/>
      <c r="W26" s="179"/>
    </row>
    <row r="27" spans="2:23" ht="33">
      <c r="C27" s="175"/>
      <c r="Q27" s="182"/>
    </row>
    <row r="28" spans="2:23" ht="33">
      <c r="C28" s="175"/>
      <c r="Q28" s="182"/>
    </row>
    <row r="29" spans="2:23" ht="33">
      <c r="C29" s="175"/>
      <c r="Q29" s="186"/>
    </row>
    <row r="30" spans="2:23" ht="33">
      <c r="C30" s="175"/>
      <c r="E30" s="175"/>
      <c r="Q30" s="186"/>
    </row>
    <row r="31" spans="2:23" ht="33">
      <c r="C31" s="175"/>
      <c r="E31" s="175"/>
      <c r="Q31" s="182"/>
    </row>
    <row r="32" spans="2:23">
      <c r="C32" s="177"/>
      <c r="E32" s="175"/>
    </row>
    <row r="33" spans="5:5">
      <c r="E33" s="175"/>
    </row>
    <row r="34" spans="5:5">
      <c r="E34" s="175"/>
    </row>
    <row r="35" spans="5:5">
      <c r="E35" s="175"/>
    </row>
    <row r="36" spans="5:5">
      <c r="E36" s="175"/>
    </row>
    <row r="37" spans="5:5">
      <c r="E37" s="175"/>
    </row>
    <row r="38" spans="5:5">
      <c r="E38" s="175"/>
    </row>
    <row r="39" spans="5:5">
      <c r="E39" s="175"/>
    </row>
  </sheetData>
  <mergeCells count="8">
    <mergeCell ref="S20:T21"/>
    <mergeCell ref="T24:U25"/>
    <mergeCell ref="C2:K3"/>
    <mergeCell ref="M3:S3"/>
    <mergeCell ref="Q12:U13"/>
    <mergeCell ref="Q17:U18"/>
    <mergeCell ref="Q7:U10"/>
    <mergeCell ref="S15:T1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H82"/>
  <sheetViews>
    <sheetView zoomScale="110" zoomScaleNormal="110" workbookViewId="0">
      <pane xSplit="1" ySplit="11" topLeftCell="B36" activePane="bottomRight" state="frozen"/>
      <selection pane="topRight" activeCell="C1" sqref="C1"/>
      <selection pane="bottomLeft" activeCell="A12" sqref="A12"/>
      <selection pane="bottomRight" activeCell="A44" sqref="A44"/>
    </sheetView>
  </sheetViews>
  <sheetFormatPr baseColWidth="10" defaultColWidth="8.83203125" defaultRowHeight="23"/>
  <cols>
    <col min="1" max="1" width="14.33203125" style="86" customWidth="1"/>
    <col min="2" max="2" width="14.33203125" style="88" customWidth="1"/>
    <col min="3" max="3" width="14.33203125" style="86" customWidth="1"/>
    <col min="4" max="8" width="14.33203125" style="88" customWidth="1"/>
    <col min="9" max="9" width="15.83203125" style="86" customWidth="1"/>
    <col min="10" max="10" width="3.5" style="108" customWidth="1"/>
    <col min="11" max="16" width="14.33203125" style="86" customWidth="1"/>
    <col min="17" max="17" width="15.83203125" style="86" customWidth="1"/>
    <col min="18" max="18" width="16.5" style="86" customWidth="1"/>
    <col min="19" max="19" width="14.33203125" style="86" customWidth="1"/>
    <col min="20" max="21" width="14.33203125" style="85" customWidth="1"/>
    <col min="22" max="30" width="8.83203125" style="85"/>
    <col min="31" max="34" width="8.83203125" style="83"/>
  </cols>
  <sheetData>
    <row r="1" spans="1:34">
      <c r="D1" s="87" t="s">
        <v>75</v>
      </c>
      <c r="E1" s="92">
        <v>1</v>
      </c>
      <c r="L1" s="89" t="s">
        <v>63</v>
      </c>
      <c r="M1" s="93">
        <v>1000</v>
      </c>
      <c r="N1" s="109" t="s">
        <v>64</v>
      </c>
    </row>
    <row r="2" spans="1:34">
      <c r="A2" s="88"/>
      <c r="D2" s="89" t="s">
        <v>50</v>
      </c>
      <c r="E2" s="92">
        <v>3</v>
      </c>
      <c r="L2" s="89" t="s">
        <v>65</v>
      </c>
      <c r="M2" s="93">
        <v>4</v>
      </c>
      <c r="N2" s="85" t="s">
        <v>66</v>
      </c>
      <c r="O2" s="85"/>
      <c r="P2" s="136">
        <f>(M2/M1)*100</f>
        <v>0.4</v>
      </c>
      <c r="Q2" s="135" t="s">
        <v>73</v>
      </c>
      <c r="U2" s="85" t="s">
        <v>67</v>
      </c>
      <c r="AC2" s="83"/>
      <c r="AD2" s="83"/>
      <c r="AG2"/>
      <c r="AH2"/>
    </row>
    <row r="4" spans="1:34" hidden="1">
      <c r="B4" s="88">
        <f>AC!G11</f>
        <v>-0.2975899264369275</v>
      </c>
      <c r="C4" s="86">
        <f>WC!G11</f>
        <v>0.10223363413482645</v>
      </c>
    </row>
    <row r="5" spans="1:34" hidden="1">
      <c r="B5" s="88">
        <f>AC!G12</f>
        <v>5.2125269157533793E-2</v>
      </c>
      <c r="C5" s="86">
        <f>WC!G12</f>
        <v>0.56005770610832073</v>
      </c>
    </row>
    <row r="6" spans="1:34" hidden="1">
      <c r="B6" s="88">
        <f>AC!G13*-1</f>
        <v>3.4627713275627303E-3</v>
      </c>
      <c r="C6" s="86">
        <f>WC!G13*-1</f>
        <v>-1.6917113796895977E-2</v>
      </c>
    </row>
    <row r="7" spans="1:34" hidden="1"/>
    <row r="8" spans="1:34" hidden="1"/>
    <row r="9" spans="1:34" ht="24" thickBot="1"/>
    <row r="10" spans="1:34" ht="24" thickBot="1">
      <c r="B10" s="211" t="s">
        <v>62</v>
      </c>
      <c r="C10" s="212"/>
      <c r="D10" s="212"/>
      <c r="E10" s="212"/>
      <c r="F10" s="212"/>
      <c r="G10" s="212"/>
      <c r="H10" s="212"/>
      <c r="I10" s="213"/>
      <c r="K10" s="208" t="s">
        <v>70</v>
      </c>
      <c r="L10" s="209"/>
      <c r="M10" s="209"/>
      <c r="N10" s="209"/>
      <c r="O10" s="209"/>
      <c r="P10" s="209"/>
      <c r="Q10" s="209"/>
      <c r="R10" s="210"/>
    </row>
    <row r="11" spans="1:34" s="16" customFormat="1" ht="73" thickBot="1">
      <c r="A11" s="130" t="s">
        <v>49</v>
      </c>
      <c r="B11" s="131" t="s">
        <v>103</v>
      </c>
      <c r="C11" s="118" t="s">
        <v>22</v>
      </c>
      <c r="D11" s="117" t="s">
        <v>52</v>
      </c>
      <c r="E11" s="117" t="s">
        <v>53</v>
      </c>
      <c r="F11" s="117" t="s">
        <v>54</v>
      </c>
      <c r="G11" s="117" t="s">
        <v>56</v>
      </c>
      <c r="H11" s="117" t="s">
        <v>57</v>
      </c>
      <c r="I11" s="118" t="s">
        <v>55</v>
      </c>
      <c r="J11" s="132"/>
      <c r="K11" s="119" t="s">
        <v>68</v>
      </c>
      <c r="L11" s="119" t="s">
        <v>104</v>
      </c>
      <c r="M11" s="119" t="s">
        <v>71</v>
      </c>
      <c r="N11" s="119" t="s">
        <v>72</v>
      </c>
      <c r="O11" s="119" t="s">
        <v>53</v>
      </c>
      <c r="P11" s="120" t="str">
        <f>F11</f>
        <v>Net Returns</v>
      </c>
      <c r="Q11" s="119" t="str">
        <f>I11</f>
        <v>Marginal Returns</v>
      </c>
      <c r="R11" s="133" t="s">
        <v>74</v>
      </c>
      <c r="S11" s="134" t="str">
        <f>A11</f>
        <v>Age (Days)</v>
      </c>
      <c r="T11" s="90"/>
      <c r="U11" s="91"/>
      <c r="V11" s="91"/>
      <c r="W11" s="91"/>
      <c r="X11" s="91"/>
      <c r="Y11" s="91"/>
      <c r="Z11" s="91"/>
      <c r="AA11" s="91"/>
      <c r="AB11" s="91"/>
      <c r="AC11" s="91"/>
      <c r="AD11" s="84"/>
      <c r="AE11" s="84"/>
      <c r="AF11" s="84"/>
      <c r="AG11" s="84"/>
    </row>
    <row r="12" spans="1:34" s="16" customFormat="1" hidden="1">
      <c r="A12" s="150">
        <v>0</v>
      </c>
      <c r="B12" s="106">
        <f t="shared" ref="B12:C13" si="0">B$4+B$5*A12+B$6*A12*A12</f>
        <v>-0.2975899264369275</v>
      </c>
      <c r="C12" s="106">
        <f t="shared" si="0"/>
        <v>-6.5932073037155592E-2</v>
      </c>
      <c r="D12" s="106">
        <f t="shared" ref="D12" si="1">B12*E$1</f>
        <v>-0.2975899264369275</v>
      </c>
      <c r="E12" s="106">
        <f t="shared" ref="E12" si="2">C12*E$2</f>
        <v>-0.19779621911146678</v>
      </c>
      <c r="F12" s="106">
        <f t="shared" ref="F12" si="3">E12-D12</f>
        <v>9.9793707325460723E-2</v>
      </c>
      <c r="G12" s="152"/>
      <c r="H12" s="152"/>
      <c r="I12" s="151"/>
      <c r="J12" s="153"/>
      <c r="K12" s="121">
        <f>M1</f>
        <v>1000</v>
      </c>
      <c r="L12" s="122">
        <f t="shared" ref="L12:L18" si="4">B12*K12</f>
        <v>-297.5899264369275</v>
      </c>
      <c r="M12" s="122">
        <f t="shared" ref="M12:M18" si="5">K12*C12</f>
        <v>-65.93207303715559</v>
      </c>
      <c r="N12" s="122">
        <f t="shared" ref="N12:N18" si="6">L12*E$1</f>
        <v>-297.5899264369275</v>
      </c>
      <c r="O12" s="122">
        <f t="shared" ref="O12:O18" si="7">M12*E$2</f>
        <v>-197.79621911146677</v>
      </c>
      <c r="P12" s="122">
        <f t="shared" ref="P12:P18" si="8">O12-N12</f>
        <v>99.79370732546073</v>
      </c>
      <c r="Q12" s="154"/>
      <c r="R12" s="155"/>
      <c r="S12" s="150"/>
      <c r="T12" s="90"/>
      <c r="U12" s="91"/>
      <c r="V12" s="91"/>
      <c r="W12" s="91"/>
      <c r="X12" s="91"/>
      <c r="Y12" s="91"/>
      <c r="Z12" s="91"/>
      <c r="AA12" s="91"/>
      <c r="AB12" s="91"/>
      <c r="AC12" s="91"/>
      <c r="AD12" s="84"/>
      <c r="AE12" s="84"/>
      <c r="AF12" s="84"/>
      <c r="AG12" s="84"/>
    </row>
    <row r="13" spans="1:34" s="16" customFormat="1" hidden="1">
      <c r="A13" s="150">
        <f>A12+1</f>
        <v>1</v>
      </c>
      <c r="B13" s="106">
        <f t="shared" si="0"/>
        <v>-0.24200188595183098</v>
      </c>
      <c r="C13" s="106">
        <f t="shared" si="0"/>
        <v>-3.4292136279658131E-2</v>
      </c>
      <c r="D13" s="106">
        <f t="shared" ref="D13:D18" si="9">B13*E$1</f>
        <v>-0.24200188595183098</v>
      </c>
      <c r="E13" s="106">
        <f t="shared" ref="E13:E18" si="10">C13*E$2</f>
        <v>-0.10287640883897439</v>
      </c>
      <c r="F13" s="106">
        <f t="shared" ref="F13:F18" si="11">E13-D13</f>
        <v>0.13912547711285658</v>
      </c>
      <c r="G13" s="107">
        <f t="shared" ref="G13:G19" si="12">D13-D12</f>
        <v>5.5588040485096524E-2</v>
      </c>
      <c r="H13" s="107">
        <f>E13-E12</f>
        <v>9.4919810272492383E-2</v>
      </c>
      <c r="I13" s="107">
        <f t="shared" ref="I13:I19" si="13">F13-F12</f>
        <v>3.9331769787395859E-2</v>
      </c>
      <c r="J13" s="153"/>
      <c r="K13" s="121">
        <f>K12-M2</f>
        <v>996</v>
      </c>
      <c r="L13" s="122">
        <f t="shared" si="4"/>
        <v>-241.03387840802364</v>
      </c>
      <c r="M13" s="122">
        <f t="shared" si="5"/>
        <v>-34.154967734539497</v>
      </c>
      <c r="N13" s="122">
        <f t="shared" si="6"/>
        <v>-241.03387840802364</v>
      </c>
      <c r="O13" s="122">
        <f t="shared" si="7"/>
        <v>-102.46490320361849</v>
      </c>
      <c r="P13" s="122">
        <f t="shared" si="8"/>
        <v>138.56897520440515</v>
      </c>
      <c r="Q13" s="123">
        <f t="shared" ref="Q13:Q19" si="14">P13-P12</f>
        <v>38.775267878944419</v>
      </c>
      <c r="R13" s="127">
        <f t="shared" ref="R13:R19" si="15">L13/M13</f>
        <v>7.0570664941450412</v>
      </c>
      <c r="S13" s="128">
        <f t="shared" ref="S13:S19" si="16">A13</f>
        <v>1</v>
      </c>
      <c r="T13" s="90"/>
      <c r="U13" s="91"/>
      <c r="V13" s="91"/>
      <c r="W13" s="91"/>
      <c r="X13" s="91"/>
      <c r="Y13" s="91"/>
      <c r="Z13" s="91"/>
      <c r="AA13" s="91"/>
      <c r="AB13" s="91"/>
      <c r="AC13" s="91"/>
      <c r="AD13" s="84"/>
      <c r="AE13" s="84"/>
      <c r="AF13" s="84"/>
      <c r="AG13" s="84"/>
    </row>
    <row r="14" spans="1:34" s="16" customFormat="1" hidden="1">
      <c r="A14" s="150">
        <f t="shared" ref="A14:A18" si="17">A13+1</f>
        <v>2</v>
      </c>
      <c r="B14" s="106">
        <f t="shared" ref="B14:C14" si="18">B$4+B$5*A14+B$6*A14*A14</f>
        <v>-0.17948830281160899</v>
      </c>
      <c r="C14" s="106">
        <f t="shared" si="18"/>
        <v>1.1648243906294436E-3</v>
      </c>
      <c r="D14" s="106">
        <f t="shared" si="9"/>
        <v>-0.17948830281160899</v>
      </c>
      <c r="E14" s="106">
        <f t="shared" si="10"/>
        <v>3.4944731718883305E-3</v>
      </c>
      <c r="F14" s="106">
        <f t="shared" si="11"/>
        <v>0.18298277598349733</v>
      </c>
      <c r="G14" s="107">
        <f t="shared" si="12"/>
        <v>6.2513583140221984E-2</v>
      </c>
      <c r="H14" s="107">
        <f t="shared" ref="H14:H77" si="19">E14-E13</f>
        <v>0.10637088201086273</v>
      </c>
      <c r="I14" s="107">
        <f t="shared" si="13"/>
        <v>4.3857298870640743E-2</v>
      </c>
      <c r="J14" s="153"/>
      <c r="K14" s="121">
        <f t="shared" ref="K14:K18" si="20">K13-M3</f>
        <v>996</v>
      </c>
      <c r="L14" s="122">
        <f t="shared" si="4"/>
        <v>-178.77034960036255</v>
      </c>
      <c r="M14" s="122">
        <f t="shared" si="5"/>
        <v>1.1601650930669258</v>
      </c>
      <c r="N14" s="122">
        <f t="shared" si="6"/>
        <v>-178.77034960036255</v>
      </c>
      <c r="O14" s="122">
        <f t="shared" si="7"/>
        <v>3.4804952792007775</v>
      </c>
      <c r="P14" s="122">
        <f t="shared" si="8"/>
        <v>182.25084487956332</v>
      </c>
      <c r="Q14" s="123">
        <f t="shared" si="14"/>
        <v>43.681869675158168</v>
      </c>
      <c r="R14" s="127">
        <f t="shared" si="15"/>
        <v>-154.09043994573099</v>
      </c>
      <c r="S14" s="128">
        <f t="shared" si="16"/>
        <v>2</v>
      </c>
      <c r="T14" s="90"/>
      <c r="U14" s="91"/>
      <c r="V14" s="91"/>
      <c r="W14" s="91"/>
      <c r="X14" s="91"/>
      <c r="Y14" s="91"/>
      <c r="Z14" s="91"/>
      <c r="AA14" s="91"/>
      <c r="AB14" s="91"/>
      <c r="AC14" s="91"/>
      <c r="AD14" s="84"/>
      <c r="AE14" s="84"/>
      <c r="AF14" s="84"/>
      <c r="AG14" s="84"/>
    </row>
    <row r="15" spans="1:34" s="16" customFormat="1" hidden="1">
      <c r="A15" s="150">
        <f t="shared" si="17"/>
        <v>3</v>
      </c>
      <c r="B15" s="106">
        <f t="shared" ref="B15:C15" si="21">B$4+B$5*A15+B$6*A15*A15</f>
        <v>-0.11004917701626155</v>
      </c>
      <c r="C15" s="106">
        <f t="shared" si="21"/>
        <v>4.0394864352836374E-2</v>
      </c>
      <c r="D15" s="106">
        <f t="shared" si="9"/>
        <v>-0.11004917701626155</v>
      </c>
      <c r="E15" s="106">
        <f t="shared" si="10"/>
        <v>0.12118459305850912</v>
      </c>
      <c r="F15" s="106">
        <f t="shared" si="11"/>
        <v>0.23123377007477067</v>
      </c>
      <c r="G15" s="107">
        <f t="shared" si="12"/>
        <v>6.9439125795347445E-2</v>
      </c>
      <c r="H15" s="107">
        <f t="shared" si="19"/>
        <v>0.11769011988662079</v>
      </c>
      <c r="I15" s="107">
        <f t="shared" si="13"/>
        <v>4.8250994091273341E-2</v>
      </c>
      <c r="J15" s="153"/>
      <c r="K15" s="121">
        <f t="shared" si="20"/>
        <v>996</v>
      </c>
      <c r="L15" s="122">
        <f t="shared" si="4"/>
        <v>-109.60898030819649</v>
      </c>
      <c r="M15" s="122">
        <f t="shared" si="5"/>
        <v>40.23328489542503</v>
      </c>
      <c r="N15" s="122">
        <f t="shared" si="6"/>
        <v>-109.60898030819649</v>
      </c>
      <c r="O15" s="122">
        <f t="shared" si="7"/>
        <v>120.69985468627509</v>
      </c>
      <c r="P15" s="122">
        <f t="shared" si="8"/>
        <v>230.30883499447157</v>
      </c>
      <c r="Q15" s="123">
        <f t="shared" si="14"/>
        <v>48.05799011490825</v>
      </c>
      <c r="R15" s="127">
        <f t="shared" si="15"/>
        <v>-2.7243358476220334</v>
      </c>
      <c r="S15" s="128">
        <f t="shared" si="16"/>
        <v>3</v>
      </c>
      <c r="T15" s="90"/>
      <c r="U15" s="91"/>
      <c r="V15" s="91"/>
      <c r="W15" s="91"/>
      <c r="X15" s="91"/>
      <c r="Y15" s="91"/>
      <c r="Z15" s="91"/>
      <c r="AA15" s="91"/>
      <c r="AB15" s="91"/>
      <c r="AC15" s="91"/>
      <c r="AD15" s="84"/>
      <c r="AE15" s="84"/>
      <c r="AF15" s="84"/>
      <c r="AG15" s="84"/>
    </row>
    <row r="16" spans="1:34" s="16" customFormat="1" hidden="1">
      <c r="A16" s="150">
        <f t="shared" si="17"/>
        <v>4</v>
      </c>
      <c r="B16" s="106">
        <f t="shared" ref="B16:C16" si="22">B$4+B$5*A16+B$6*A16*A16</f>
        <v>-3.368450856578864E-2</v>
      </c>
      <c r="C16" s="106">
        <f t="shared" si="22"/>
        <v>8.3349170598598907E-2</v>
      </c>
      <c r="D16" s="106">
        <f t="shared" si="9"/>
        <v>-3.368450856578864E-2</v>
      </c>
      <c r="E16" s="106">
        <f t="shared" si="10"/>
        <v>0.25004751179579671</v>
      </c>
      <c r="F16" s="106">
        <f t="shared" si="11"/>
        <v>0.28373202036158535</v>
      </c>
      <c r="G16" s="107">
        <f t="shared" si="12"/>
        <v>7.6364668450472906E-2</v>
      </c>
      <c r="H16" s="107">
        <f t="shared" si="19"/>
        <v>0.12886291873728759</v>
      </c>
      <c r="I16" s="107">
        <f t="shared" si="13"/>
        <v>5.2498250286814679E-2</v>
      </c>
      <c r="J16" s="153"/>
      <c r="K16" s="121">
        <f t="shared" si="20"/>
        <v>996</v>
      </c>
      <c r="L16" s="122">
        <f t="shared" si="4"/>
        <v>-33.549770531525482</v>
      </c>
      <c r="M16" s="122">
        <f t="shared" si="5"/>
        <v>83.015773916204509</v>
      </c>
      <c r="N16" s="122">
        <f t="shared" si="6"/>
        <v>-33.549770531525482</v>
      </c>
      <c r="O16" s="122">
        <f t="shared" si="7"/>
        <v>249.04732174861351</v>
      </c>
      <c r="P16" s="122">
        <f t="shared" si="8"/>
        <v>282.59709228013901</v>
      </c>
      <c r="Q16" s="123">
        <f t="shared" si="14"/>
        <v>52.288257285667441</v>
      </c>
      <c r="R16" s="127">
        <f t="shared" si="15"/>
        <v>-0.40413729763442746</v>
      </c>
      <c r="S16" s="128">
        <f t="shared" si="16"/>
        <v>4</v>
      </c>
      <c r="T16" s="90"/>
      <c r="U16" s="91"/>
      <c r="V16" s="91"/>
      <c r="W16" s="91"/>
      <c r="X16" s="91"/>
      <c r="Y16" s="91"/>
      <c r="Z16" s="91"/>
      <c r="AA16" s="91"/>
      <c r="AB16" s="91"/>
      <c r="AC16" s="91"/>
      <c r="AD16" s="84"/>
      <c r="AE16" s="84"/>
      <c r="AF16" s="84"/>
      <c r="AG16" s="84"/>
    </row>
    <row r="17" spans="1:34" s="16" customFormat="1" hidden="1">
      <c r="A17" s="150">
        <f t="shared" si="17"/>
        <v>5</v>
      </c>
      <c r="B17" s="106">
        <f t="shared" ref="B17:C17" si="23">B$4+B$5*A17+B$6*A17*A17</f>
        <v>4.9605702539809726E-2</v>
      </c>
      <c r="C17" s="106">
        <f t="shared" si="23"/>
        <v>0.12997406173206019</v>
      </c>
      <c r="D17" s="106">
        <f t="shared" si="9"/>
        <v>4.9605702539809726E-2</v>
      </c>
      <c r="E17" s="106">
        <f t="shared" si="10"/>
        <v>0.3899221851961806</v>
      </c>
      <c r="F17" s="106">
        <f t="shared" si="11"/>
        <v>0.34031648265637088</v>
      </c>
      <c r="G17" s="107">
        <f t="shared" si="12"/>
        <v>8.3290211105598366E-2</v>
      </c>
      <c r="H17" s="107">
        <f t="shared" si="19"/>
        <v>0.1398746734003839</v>
      </c>
      <c r="I17" s="107">
        <f t="shared" si="13"/>
        <v>5.6584462294785531E-2</v>
      </c>
      <c r="J17" s="153"/>
      <c r="K17" s="121">
        <f t="shared" si="20"/>
        <v>996</v>
      </c>
      <c r="L17" s="122">
        <f t="shared" si="4"/>
        <v>49.40727972965049</v>
      </c>
      <c r="M17" s="122">
        <f t="shared" si="5"/>
        <v>129.45416548513194</v>
      </c>
      <c r="N17" s="122">
        <f t="shared" si="6"/>
        <v>49.40727972965049</v>
      </c>
      <c r="O17" s="122">
        <f t="shared" si="7"/>
        <v>388.36249645539579</v>
      </c>
      <c r="P17" s="122">
        <f t="shared" si="8"/>
        <v>338.95521672574529</v>
      </c>
      <c r="Q17" s="123">
        <f t="shared" si="14"/>
        <v>56.358124445606279</v>
      </c>
      <c r="R17" s="127">
        <f t="shared" si="15"/>
        <v>0.38165847768973499</v>
      </c>
      <c r="S17" s="128">
        <f t="shared" si="16"/>
        <v>5</v>
      </c>
      <c r="T17" s="90"/>
      <c r="U17" s="91"/>
      <c r="V17" s="91"/>
      <c r="W17" s="91"/>
      <c r="X17" s="91"/>
      <c r="Y17" s="91"/>
      <c r="Z17" s="91"/>
      <c r="AA17" s="91"/>
      <c r="AB17" s="91"/>
      <c r="AC17" s="91"/>
      <c r="AD17" s="84"/>
      <c r="AE17" s="84"/>
      <c r="AF17" s="84"/>
      <c r="AG17" s="84"/>
    </row>
    <row r="18" spans="1:34" s="16" customFormat="1" hidden="1">
      <c r="A18" s="150">
        <f t="shared" si="17"/>
        <v>6</v>
      </c>
      <c r="B18" s="106">
        <f t="shared" ref="B18:C18" si="24">B$4+B$5*A18+B$6*A18*A18</f>
        <v>0.13982145630053355</v>
      </c>
      <c r="C18" s="106">
        <f t="shared" si="24"/>
        <v>0.18021098796987051</v>
      </c>
      <c r="D18" s="106">
        <f t="shared" si="9"/>
        <v>0.13982145630053355</v>
      </c>
      <c r="E18" s="106">
        <f t="shared" si="10"/>
        <v>0.54063296390961146</v>
      </c>
      <c r="F18" s="106">
        <f t="shared" si="11"/>
        <v>0.40081150760907791</v>
      </c>
      <c r="G18" s="107">
        <f t="shared" si="12"/>
        <v>9.0215753760723827E-2</v>
      </c>
      <c r="H18" s="107">
        <f t="shared" si="19"/>
        <v>0.15071077871343086</v>
      </c>
      <c r="I18" s="107">
        <f t="shared" si="13"/>
        <v>6.0495024952707033E-2</v>
      </c>
      <c r="J18" s="153"/>
      <c r="K18" s="121">
        <f t="shared" si="20"/>
        <v>996</v>
      </c>
      <c r="L18" s="122">
        <f t="shared" si="4"/>
        <v>139.26217047533143</v>
      </c>
      <c r="M18" s="122">
        <f t="shared" si="5"/>
        <v>179.49014401799101</v>
      </c>
      <c r="N18" s="122">
        <f t="shared" si="6"/>
        <v>139.26217047533143</v>
      </c>
      <c r="O18" s="122">
        <f t="shared" si="7"/>
        <v>538.47043205397301</v>
      </c>
      <c r="P18" s="122">
        <f t="shared" si="8"/>
        <v>399.20826157864155</v>
      </c>
      <c r="Q18" s="123">
        <f t="shared" si="14"/>
        <v>60.253044852896267</v>
      </c>
      <c r="R18" s="127">
        <f t="shared" si="15"/>
        <v>0.77587642060932671</v>
      </c>
      <c r="S18" s="128">
        <f t="shared" si="16"/>
        <v>6</v>
      </c>
      <c r="T18" s="90"/>
      <c r="U18" s="91"/>
      <c r="V18" s="91"/>
      <c r="W18" s="91"/>
      <c r="X18" s="91"/>
      <c r="Y18" s="91"/>
      <c r="Z18" s="91"/>
      <c r="AA18" s="91"/>
      <c r="AB18" s="91"/>
      <c r="AC18" s="91"/>
      <c r="AD18" s="84"/>
      <c r="AE18" s="84"/>
      <c r="AF18" s="84"/>
      <c r="AG18" s="84"/>
    </row>
    <row r="19" spans="1:34" s="16" customFormat="1" hidden="1">
      <c r="A19" s="188">
        <f>A18+1</f>
        <v>7</v>
      </c>
      <c r="B19" s="106">
        <f t="shared" ref="B19:C19" si="25">B$4+B$5*A19+B$6*A19*A19</f>
        <v>0.23696275271638284</v>
      </c>
      <c r="C19" s="106">
        <f t="shared" si="25"/>
        <v>0.23399653114118696</v>
      </c>
      <c r="D19" s="106">
        <f t="shared" ref="D19:D31" si="26">B19*E$1</f>
        <v>0.23696275271638284</v>
      </c>
      <c r="E19" s="106">
        <f t="shared" ref="E19:E31" si="27">C19*E$2</f>
        <v>0.70198959342356093</v>
      </c>
      <c r="F19" s="106">
        <f t="shared" ref="F19:F31" si="28">E19-D19</f>
        <v>0.46502684070717809</v>
      </c>
      <c r="G19" s="107">
        <f t="shared" si="12"/>
        <v>9.7141296415849288E-2</v>
      </c>
      <c r="H19" s="107">
        <f t="shared" si="19"/>
        <v>0.16135662951394947</v>
      </c>
      <c r="I19" s="107">
        <f t="shared" si="13"/>
        <v>6.421533309810018E-2</v>
      </c>
      <c r="J19" s="153"/>
      <c r="K19" s="121">
        <f>M1-A19*M2</f>
        <v>972</v>
      </c>
      <c r="L19" s="122">
        <f t="shared" ref="L19:L31" si="29">B19*K19</f>
        <v>230.32779564032413</v>
      </c>
      <c r="M19" s="122">
        <f t="shared" ref="M19:M31" si="30">K19*C19</f>
        <v>227.44462826923373</v>
      </c>
      <c r="N19" s="122">
        <f t="shared" ref="N19:N31" si="31">L19*E$1</f>
        <v>230.32779564032413</v>
      </c>
      <c r="O19" s="122">
        <f t="shared" ref="O19:O31" si="32">M19*E$2</f>
        <v>682.33388480770122</v>
      </c>
      <c r="P19" s="122">
        <f t="shared" ref="P19:P31" si="33">O19-N19</f>
        <v>452.00608916737713</v>
      </c>
      <c r="Q19" s="123">
        <f t="shared" si="14"/>
        <v>52.797827588735572</v>
      </c>
      <c r="R19" s="127">
        <f t="shared" si="15"/>
        <v>1.0126763484942696</v>
      </c>
      <c r="S19" s="128">
        <f t="shared" si="16"/>
        <v>7</v>
      </c>
      <c r="T19" s="90"/>
      <c r="U19" s="91"/>
      <c r="V19" s="91"/>
      <c r="W19" s="91"/>
      <c r="X19" s="91"/>
      <c r="Y19" s="91"/>
      <c r="Z19" s="91"/>
      <c r="AA19" s="91"/>
      <c r="AB19" s="91"/>
      <c r="AC19" s="91"/>
      <c r="AD19" s="84"/>
      <c r="AE19" s="84"/>
      <c r="AF19" s="84"/>
      <c r="AG19" s="84"/>
    </row>
    <row r="20" spans="1:34" s="16" customFormat="1" hidden="1">
      <c r="A20" s="188">
        <f t="shared" ref="A20:A32" si="34">A19+1</f>
        <v>8</v>
      </c>
      <c r="B20" s="106">
        <f t="shared" ref="B20:C20" si="35">B$4+B$5*A20+B$6*A20*A20</f>
        <v>0.34102959178735759</v>
      </c>
      <c r="C20" s="106">
        <f t="shared" si="35"/>
        <v>0.29126240468767373</v>
      </c>
      <c r="D20" s="106">
        <f t="shared" si="26"/>
        <v>0.34102959178735759</v>
      </c>
      <c r="E20" s="106">
        <f t="shared" si="27"/>
        <v>0.87378721406302118</v>
      </c>
      <c r="F20" s="106">
        <f t="shared" si="28"/>
        <v>0.53275762227566359</v>
      </c>
      <c r="G20" s="107">
        <f t="shared" ref="G20:G32" si="36">D20-D19</f>
        <v>0.10406683907097475</v>
      </c>
      <c r="H20" s="107">
        <f t="shared" si="19"/>
        <v>0.17179762063946025</v>
      </c>
      <c r="I20" s="107">
        <f t="shared" ref="I20:I32" si="37">F20-F19</f>
        <v>6.7730781568485499E-2</v>
      </c>
      <c r="J20" s="153"/>
      <c r="K20" s="121">
        <f t="shared" ref="K20:K32" si="38">K19-M$2</f>
        <v>968</v>
      </c>
      <c r="L20" s="122">
        <f t="shared" si="29"/>
        <v>330.11664485016217</v>
      </c>
      <c r="M20" s="122">
        <f t="shared" si="30"/>
        <v>281.94200773766818</v>
      </c>
      <c r="N20" s="122">
        <f t="shared" si="31"/>
        <v>330.11664485016217</v>
      </c>
      <c r="O20" s="122">
        <f t="shared" si="32"/>
        <v>845.82602321300453</v>
      </c>
      <c r="P20" s="122">
        <f t="shared" si="33"/>
        <v>515.70937836284236</v>
      </c>
      <c r="Q20" s="123">
        <f t="shared" ref="Q20:Q32" si="39">P20-P19</f>
        <v>63.703289195465231</v>
      </c>
      <c r="R20" s="127">
        <f t="shared" ref="R20:R31" si="40">L20/M20</f>
        <v>1.1708671847060048</v>
      </c>
      <c r="S20" s="128">
        <f t="shared" ref="S20:S31" si="41">A20</f>
        <v>8</v>
      </c>
      <c r="T20" s="90"/>
      <c r="U20" s="91"/>
      <c r="V20" s="91"/>
      <c r="W20" s="91"/>
      <c r="X20" s="91"/>
      <c r="Y20" s="91"/>
      <c r="Z20" s="91"/>
      <c r="AA20" s="91"/>
      <c r="AB20" s="91"/>
      <c r="AC20" s="91"/>
      <c r="AD20" s="84"/>
      <c r="AE20" s="84"/>
      <c r="AF20" s="84"/>
      <c r="AG20" s="84"/>
    </row>
    <row r="21" spans="1:34" s="16" customFormat="1" hidden="1">
      <c r="A21" s="188">
        <f t="shared" si="34"/>
        <v>9</v>
      </c>
      <c r="B21" s="106">
        <f t="shared" ref="B21:C21" si="42">B$4+B$5*A21+B$6*A21*A21</f>
        <v>0.4520219735134578</v>
      </c>
      <c r="C21" s="106">
        <f t="shared" si="42"/>
        <v>0.35193545366350187</v>
      </c>
      <c r="D21" s="106">
        <f t="shared" si="26"/>
        <v>0.4520219735134578</v>
      </c>
      <c r="E21" s="106">
        <f t="shared" si="27"/>
        <v>1.0558063609905055</v>
      </c>
      <c r="F21" s="106">
        <f t="shared" si="28"/>
        <v>0.60378438747704766</v>
      </c>
      <c r="G21" s="107">
        <f t="shared" si="36"/>
        <v>0.11099238172610021</v>
      </c>
      <c r="H21" s="107">
        <f t="shared" si="19"/>
        <v>0.18201914692748433</v>
      </c>
      <c r="I21" s="107">
        <f t="shared" si="37"/>
        <v>7.1026765201384068E-2</v>
      </c>
      <c r="J21" s="153"/>
      <c r="K21" s="121">
        <f t="shared" si="38"/>
        <v>964</v>
      </c>
      <c r="L21" s="122">
        <f t="shared" si="29"/>
        <v>435.74918246697331</v>
      </c>
      <c r="M21" s="122">
        <f t="shared" si="30"/>
        <v>339.26577733161582</v>
      </c>
      <c r="N21" s="122">
        <f t="shared" si="31"/>
        <v>435.74918246697331</v>
      </c>
      <c r="O21" s="122">
        <f t="shared" si="32"/>
        <v>1017.7973319948475</v>
      </c>
      <c r="P21" s="122">
        <f t="shared" si="33"/>
        <v>582.0481495278741</v>
      </c>
      <c r="Q21" s="123">
        <f t="shared" si="39"/>
        <v>66.338771165031744</v>
      </c>
      <c r="R21" s="127">
        <f t="shared" si="40"/>
        <v>1.2843888525810536</v>
      </c>
      <c r="S21" s="128">
        <f t="shared" si="41"/>
        <v>9</v>
      </c>
      <c r="T21" s="90"/>
      <c r="U21" s="91"/>
      <c r="V21" s="91"/>
      <c r="W21" s="91"/>
      <c r="X21" s="91"/>
      <c r="Y21" s="91"/>
      <c r="Z21" s="91"/>
      <c r="AA21" s="91"/>
      <c r="AB21" s="91"/>
      <c r="AC21" s="91"/>
      <c r="AD21" s="84"/>
      <c r="AE21" s="84"/>
      <c r="AF21" s="84"/>
      <c r="AG21" s="84"/>
    </row>
    <row r="22" spans="1:34" s="16" customFormat="1" hidden="1">
      <c r="A22" s="188">
        <f t="shared" si="34"/>
        <v>10</v>
      </c>
      <c r="B22" s="106">
        <f t="shared" ref="B22:C22" si="43">B$4+B$5*A22+B$6*A22*A22</f>
        <v>0.56993989789468347</v>
      </c>
      <c r="C22" s="106">
        <f t="shared" si="43"/>
        <v>0.4159376547353496</v>
      </c>
      <c r="D22" s="106">
        <f t="shared" si="26"/>
        <v>0.56993989789468347</v>
      </c>
      <c r="E22" s="106">
        <f t="shared" si="27"/>
        <v>1.2478129642060489</v>
      </c>
      <c r="F22" s="106">
        <f t="shared" si="28"/>
        <v>0.67787306631136546</v>
      </c>
      <c r="G22" s="107">
        <f t="shared" si="36"/>
        <v>0.11791792438122567</v>
      </c>
      <c r="H22" s="107">
        <f t="shared" si="19"/>
        <v>0.19200660321554341</v>
      </c>
      <c r="I22" s="107">
        <f t="shared" si="37"/>
        <v>7.40886788343178E-2</v>
      </c>
      <c r="J22" s="153"/>
      <c r="K22" s="121">
        <f t="shared" si="38"/>
        <v>960</v>
      </c>
      <c r="L22" s="122">
        <f t="shared" si="29"/>
        <v>547.14230197889617</v>
      </c>
      <c r="M22" s="122">
        <f t="shared" si="30"/>
        <v>399.3001485459356</v>
      </c>
      <c r="N22" s="122">
        <f t="shared" si="31"/>
        <v>547.14230197889617</v>
      </c>
      <c r="O22" s="122">
        <f t="shared" si="32"/>
        <v>1197.9004456378068</v>
      </c>
      <c r="P22" s="122">
        <f t="shared" si="33"/>
        <v>650.75814365891063</v>
      </c>
      <c r="Q22" s="123">
        <f t="shared" si="39"/>
        <v>68.709994131036524</v>
      </c>
      <c r="R22" s="127">
        <f t="shared" si="40"/>
        <v>1.3702531891644232</v>
      </c>
      <c r="S22" s="128">
        <f t="shared" si="41"/>
        <v>10</v>
      </c>
      <c r="T22" s="90"/>
      <c r="U22" s="91"/>
      <c r="V22" s="91"/>
      <c r="W22" s="91"/>
      <c r="X22" s="91"/>
      <c r="Y22" s="91"/>
      <c r="Z22" s="91"/>
      <c r="AA22" s="91"/>
      <c r="AB22" s="91"/>
      <c r="AC22" s="91"/>
      <c r="AD22" s="84"/>
      <c r="AE22" s="84"/>
      <c r="AF22" s="84"/>
      <c r="AG22" s="84"/>
    </row>
    <row r="23" spans="1:34" s="16" customFormat="1" hidden="1">
      <c r="A23" s="188">
        <f t="shared" si="34"/>
        <v>11</v>
      </c>
      <c r="B23" s="106">
        <f t="shared" ref="B23:C23" si="44">B$4+B$5*A23+B$6*A23*A23</f>
        <v>0.69478336493103465</v>
      </c>
      <c r="C23" s="106">
        <f t="shared" si="44"/>
        <v>0.48318611618240204</v>
      </c>
      <c r="D23" s="106">
        <f t="shared" si="26"/>
        <v>0.69478336493103465</v>
      </c>
      <c r="E23" s="106">
        <f t="shared" si="27"/>
        <v>1.4495583485472061</v>
      </c>
      <c r="F23" s="106">
        <f t="shared" si="28"/>
        <v>0.75477498361617146</v>
      </c>
      <c r="G23" s="107">
        <f t="shared" si="36"/>
        <v>0.12484346703635119</v>
      </c>
      <c r="H23" s="107">
        <f t="shared" si="19"/>
        <v>0.20174538434115719</v>
      </c>
      <c r="I23" s="107">
        <f t="shared" si="37"/>
        <v>7.6901917304806E-2</v>
      </c>
      <c r="J23" s="153"/>
      <c r="K23" s="121">
        <f t="shared" si="38"/>
        <v>956</v>
      </c>
      <c r="L23" s="122">
        <f t="shared" si="29"/>
        <v>664.21289687406909</v>
      </c>
      <c r="M23" s="122">
        <f t="shared" si="30"/>
        <v>461.92592707037636</v>
      </c>
      <c r="N23" s="122">
        <f t="shared" si="31"/>
        <v>664.21289687406909</v>
      </c>
      <c r="O23" s="122">
        <f t="shared" si="32"/>
        <v>1385.777781211129</v>
      </c>
      <c r="P23" s="122">
        <f t="shared" si="33"/>
        <v>721.56488433705988</v>
      </c>
      <c r="Q23" s="123">
        <f t="shared" si="39"/>
        <v>70.806740678149254</v>
      </c>
      <c r="R23" s="127">
        <f t="shared" si="40"/>
        <v>1.437920796277091</v>
      </c>
      <c r="S23" s="128">
        <f t="shared" si="41"/>
        <v>11</v>
      </c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84"/>
      <c r="AE23" s="84"/>
      <c r="AF23" s="84"/>
      <c r="AG23" s="84"/>
    </row>
    <row r="24" spans="1:34" s="16" customFormat="1" hidden="1">
      <c r="A24" s="188">
        <f t="shared" si="34"/>
        <v>12</v>
      </c>
      <c r="B24" s="106">
        <f t="shared" ref="B24:C24" si="45">B$4+B$5*A24+B$6*A24*A24</f>
        <v>0.82655237462251119</v>
      </c>
      <c r="C24" s="106">
        <f t="shared" si="45"/>
        <v>0.55359307789635104</v>
      </c>
      <c r="D24" s="106">
        <f t="shared" si="26"/>
        <v>0.82655237462251119</v>
      </c>
      <c r="E24" s="106">
        <f t="shared" si="27"/>
        <v>1.6607792336890532</v>
      </c>
      <c r="F24" s="106">
        <f t="shared" si="28"/>
        <v>0.83422685906654204</v>
      </c>
      <c r="G24" s="107">
        <f t="shared" si="36"/>
        <v>0.13176900969147654</v>
      </c>
      <c r="H24" s="107">
        <f t="shared" si="19"/>
        <v>0.21122088514184711</v>
      </c>
      <c r="I24" s="107">
        <f t="shared" si="37"/>
        <v>7.9451875450370579E-2</v>
      </c>
      <c r="J24" s="153"/>
      <c r="K24" s="121">
        <f t="shared" si="38"/>
        <v>952</v>
      </c>
      <c r="L24" s="122">
        <f t="shared" si="29"/>
        <v>786.87786064063062</v>
      </c>
      <c r="M24" s="122">
        <f t="shared" si="30"/>
        <v>527.02061015732613</v>
      </c>
      <c r="N24" s="122">
        <f t="shared" si="31"/>
        <v>786.87786064063062</v>
      </c>
      <c r="O24" s="122">
        <f t="shared" si="32"/>
        <v>1581.0618304719783</v>
      </c>
      <c r="P24" s="122">
        <f t="shared" si="33"/>
        <v>794.18396983134767</v>
      </c>
      <c r="Q24" s="123">
        <f t="shared" si="39"/>
        <v>72.619085494287788</v>
      </c>
      <c r="R24" s="127">
        <f t="shared" si="40"/>
        <v>1.4930684786800499</v>
      </c>
      <c r="S24" s="128">
        <f t="shared" si="41"/>
        <v>12</v>
      </c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84"/>
      <c r="AE24" s="84"/>
      <c r="AF24" s="84"/>
      <c r="AG24" s="84"/>
    </row>
    <row r="25" spans="1:34" s="16" customFormat="1" hidden="1">
      <c r="A25" s="188">
        <f t="shared" si="34"/>
        <v>13</v>
      </c>
      <c r="B25" s="106">
        <f t="shared" ref="B25:C25" si="46">B$4+B$5*A25+B$6*A25*A25</f>
        <v>0.96524692696911329</v>
      </c>
      <c r="C25" s="106">
        <f t="shared" si="46"/>
        <v>0.62706591138139589</v>
      </c>
      <c r="D25" s="106">
        <f t="shared" si="26"/>
        <v>0.96524692696911329</v>
      </c>
      <c r="E25" s="106">
        <f t="shared" si="27"/>
        <v>1.8811977341441877</v>
      </c>
      <c r="F25" s="106">
        <f t="shared" si="28"/>
        <v>0.91595080717507438</v>
      </c>
      <c r="G25" s="107">
        <f t="shared" si="36"/>
        <v>0.13869455234660211</v>
      </c>
      <c r="H25" s="107">
        <f t="shared" si="19"/>
        <v>0.22041850045513445</v>
      </c>
      <c r="I25" s="107">
        <f t="shared" si="37"/>
        <v>8.172394810853234E-2</v>
      </c>
      <c r="J25" s="153"/>
      <c r="K25" s="121">
        <f t="shared" si="38"/>
        <v>948</v>
      </c>
      <c r="L25" s="122">
        <f t="shared" si="29"/>
        <v>915.05408676671937</v>
      </c>
      <c r="M25" s="122">
        <f t="shared" si="30"/>
        <v>594.45848398956332</v>
      </c>
      <c r="N25" s="122">
        <f t="shared" si="31"/>
        <v>915.05408676671937</v>
      </c>
      <c r="O25" s="122">
        <f t="shared" si="32"/>
        <v>1783.37545196869</v>
      </c>
      <c r="P25" s="122">
        <f t="shared" si="33"/>
        <v>868.32136520197059</v>
      </c>
      <c r="Q25" s="123">
        <f t="shared" si="39"/>
        <v>74.137395370622926</v>
      </c>
      <c r="R25" s="127">
        <f t="shared" si="40"/>
        <v>1.5393069682941638</v>
      </c>
      <c r="S25" s="128">
        <f t="shared" si="41"/>
        <v>13</v>
      </c>
      <c r="T25" s="90"/>
      <c r="U25" s="91"/>
      <c r="V25" s="91"/>
      <c r="W25" s="91"/>
      <c r="X25" s="91"/>
      <c r="Y25" s="91"/>
      <c r="Z25" s="91"/>
      <c r="AA25" s="91"/>
      <c r="AB25" s="91"/>
      <c r="AC25" s="91"/>
      <c r="AD25" s="84"/>
      <c r="AE25" s="84"/>
      <c r="AF25" s="84"/>
      <c r="AG25" s="84"/>
    </row>
    <row r="26" spans="1:34" s="16" customFormat="1" hidden="1">
      <c r="A26" s="188">
        <f t="shared" si="34"/>
        <v>14</v>
      </c>
      <c r="B26" s="106">
        <f t="shared" ref="B26:C26" si="47">B$4+B$5*A26+B$6*A26*A26</f>
        <v>1.1108670219708408</v>
      </c>
      <c r="C26" s="106">
        <f t="shared" si="47"/>
        <v>0.70350711975424252</v>
      </c>
      <c r="D26" s="106">
        <f t="shared" si="26"/>
        <v>1.1108670219708408</v>
      </c>
      <c r="E26" s="106">
        <f t="shared" si="27"/>
        <v>2.1105213592627274</v>
      </c>
      <c r="F26" s="106">
        <f t="shared" si="28"/>
        <v>0.99965433729188669</v>
      </c>
      <c r="G26" s="107">
        <f t="shared" si="36"/>
        <v>0.14562009500172746</v>
      </c>
      <c r="H26" s="107">
        <f t="shared" si="19"/>
        <v>0.22932362511853976</v>
      </c>
      <c r="I26" s="107">
        <f t="shared" si="37"/>
        <v>8.3703530116812308E-2</v>
      </c>
      <c r="J26" s="153"/>
      <c r="K26" s="121">
        <f t="shared" si="38"/>
        <v>944</v>
      </c>
      <c r="L26" s="122">
        <f t="shared" si="29"/>
        <v>1048.6584687404736</v>
      </c>
      <c r="M26" s="122">
        <f t="shared" si="30"/>
        <v>664.11072104800496</v>
      </c>
      <c r="N26" s="122">
        <f t="shared" si="31"/>
        <v>1048.6584687404736</v>
      </c>
      <c r="O26" s="122">
        <f t="shared" si="32"/>
        <v>1992.3321631440149</v>
      </c>
      <c r="P26" s="122">
        <f t="shared" si="33"/>
        <v>943.67369440354128</v>
      </c>
      <c r="Q26" s="123">
        <f t="shared" si="39"/>
        <v>75.352329201570683</v>
      </c>
      <c r="R26" s="127">
        <f t="shared" si="40"/>
        <v>1.5790416198757191</v>
      </c>
      <c r="S26" s="128">
        <f t="shared" si="41"/>
        <v>14</v>
      </c>
      <c r="T26" s="90"/>
      <c r="U26" s="91"/>
      <c r="V26" s="91"/>
      <c r="W26" s="91"/>
      <c r="X26" s="91"/>
      <c r="Y26" s="91"/>
      <c r="Z26" s="91"/>
      <c r="AA26" s="91"/>
      <c r="AB26" s="91"/>
      <c r="AC26" s="91"/>
      <c r="AD26" s="84"/>
      <c r="AE26" s="84"/>
      <c r="AF26" s="84"/>
      <c r="AG26" s="84"/>
    </row>
    <row r="27" spans="1:34" s="16" customFormat="1" hidden="1">
      <c r="A27" s="188">
        <f t="shared" si="34"/>
        <v>15</v>
      </c>
      <c r="B27" s="106">
        <f t="shared" ref="B27:C27" si="48">B$4+B$5*A27+B$6*A27*A27</f>
        <v>1.2634126596276938</v>
      </c>
      <c r="C27" s="106">
        <f t="shared" si="48"/>
        <v>0.78281433774410392</v>
      </c>
      <c r="D27" s="106">
        <f t="shared" si="26"/>
        <v>1.2634126596276938</v>
      </c>
      <c r="E27" s="106">
        <f t="shared" si="27"/>
        <v>2.3484430132323117</v>
      </c>
      <c r="F27" s="106">
        <f t="shared" si="28"/>
        <v>1.085030353604618</v>
      </c>
      <c r="G27" s="107">
        <f t="shared" si="36"/>
        <v>0.15254563765685303</v>
      </c>
      <c r="H27" s="107">
        <f t="shared" si="19"/>
        <v>0.23792165396958431</v>
      </c>
      <c r="I27" s="107">
        <f t="shared" si="37"/>
        <v>8.5376016312731284E-2</v>
      </c>
      <c r="J27" s="153"/>
      <c r="K27" s="121">
        <f t="shared" si="38"/>
        <v>940</v>
      </c>
      <c r="L27" s="122">
        <f t="shared" si="29"/>
        <v>1187.6079000500322</v>
      </c>
      <c r="M27" s="122">
        <f t="shared" si="30"/>
        <v>735.84547747945771</v>
      </c>
      <c r="N27" s="122">
        <f t="shared" si="31"/>
        <v>1187.6079000500322</v>
      </c>
      <c r="O27" s="122">
        <f t="shared" si="32"/>
        <v>2207.5364324383731</v>
      </c>
      <c r="P27" s="122">
        <f t="shared" si="33"/>
        <v>1019.928532388341</v>
      </c>
      <c r="Q27" s="123">
        <f t="shared" si="39"/>
        <v>76.254837984799678</v>
      </c>
      <c r="R27" s="127">
        <f t="shared" si="40"/>
        <v>1.6139365347708972</v>
      </c>
      <c r="S27" s="128">
        <f t="shared" si="41"/>
        <v>15</v>
      </c>
      <c r="T27" s="90"/>
      <c r="U27" s="91"/>
      <c r="V27" s="91"/>
      <c r="W27" s="91"/>
      <c r="X27" s="91"/>
      <c r="Y27" s="91"/>
      <c r="Z27" s="91"/>
      <c r="AA27" s="91"/>
      <c r="AB27" s="91"/>
      <c r="AC27" s="91"/>
      <c r="AD27" s="84"/>
      <c r="AE27" s="84"/>
      <c r="AF27" s="84"/>
      <c r="AG27" s="84"/>
    </row>
    <row r="28" spans="1:34" s="16" customFormat="1" hidden="1">
      <c r="A28" s="188">
        <f t="shared" si="34"/>
        <v>16</v>
      </c>
      <c r="B28" s="106">
        <f t="shared" ref="B28:C28" si="49">B$4+B$5*A28+B$6*A28*A28</f>
        <v>1.4228838399396722</v>
      </c>
      <c r="C28" s="106">
        <f t="shared" si="49"/>
        <v>0.86488033169270007</v>
      </c>
      <c r="D28" s="106">
        <f t="shared" si="26"/>
        <v>1.4228838399396722</v>
      </c>
      <c r="E28" s="106">
        <f t="shared" si="27"/>
        <v>2.5946409950781</v>
      </c>
      <c r="F28" s="106">
        <f t="shared" si="28"/>
        <v>1.1717571551384278</v>
      </c>
      <c r="G28" s="107">
        <f t="shared" si="36"/>
        <v>0.15947118031197838</v>
      </c>
      <c r="H28" s="107">
        <f t="shared" si="19"/>
        <v>0.24619798184578823</v>
      </c>
      <c r="I28" s="107">
        <f t="shared" si="37"/>
        <v>8.672680153380985E-2</v>
      </c>
      <c r="J28" s="153"/>
      <c r="K28" s="121">
        <f t="shared" si="38"/>
        <v>936</v>
      </c>
      <c r="L28" s="122">
        <f t="shared" si="29"/>
        <v>1331.8192741835333</v>
      </c>
      <c r="M28" s="122">
        <f t="shared" si="30"/>
        <v>809.52799046436724</v>
      </c>
      <c r="N28" s="122">
        <f t="shared" si="31"/>
        <v>1331.8192741835333</v>
      </c>
      <c r="O28" s="122">
        <f t="shared" si="32"/>
        <v>2428.5839713931018</v>
      </c>
      <c r="P28" s="122">
        <f t="shared" si="33"/>
        <v>1096.7646972095686</v>
      </c>
      <c r="Q28" s="123">
        <f t="shared" si="39"/>
        <v>76.836164821227612</v>
      </c>
      <c r="R28" s="127">
        <f t="shared" si="40"/>
        <v>1.6451800183210039</v>
      </c>
      <c r="S28" s="128">
        <f t="shared" si="41"/>
        <v>16</v>
      </c>
      <c r="T28" s="90"/>
      <c r="U28" s="91"/>
      <c r="V28" s="91"/>
      <c r="W28" s="91"/>
      <c r="X28" s="91"/>
      <c r="Y28" s="91"/>
      <c r="Z28" s="91"/>
      <c r="AA28" s="91"/>
      <c r="AB28" s="91"/>
      <c r="AC28" s="91"/>
      <c r="AD28" s="84"/>
      <c r="AE28" s="84"/>
      <c r="AF28" s="84"/>
      <c r="AG28" s="84"/>
    </row>
    <row r="29" spans="1:34" s="16" customFormat="1" hidden="1">
      <c r="A29" s="188">
        <f t="shared" si="34"/>
        <v>17</v>
      </c>
      <c r="B29" s="106">
        <f t="shared" ref="B29:C29" si="50">B$4+B$5*A29+B$6*A29*A29</f>
        <v>1.5892805629067761</v>
      </c>
      <c r="C29" s="106">
        <f t="shared" si="50"/>
        <v>0.94959299955425813</v>
      </c>
      <c r="D29" s="106">
        <f t="shared" si="26"/>
        <v>1.5892805629067761</v>
      </c>
      <c r="E29" s="106">
        <f t="shared" si="27"/>
        <v>2.8487789986627745</v>
      </c>
      <c r="F29" s="106">
        <f t="shared" si="28"/>
        <v>1.2594984357559984</v>
      </c>
      <c r="G29" s="107">
        <f t="shared" si="36"/>
        <v>0.16639672296710395</v>
      </c>
      <c r="H29" s="107">
        <f t="shared" si="19"/>
        <v>0.25413800358467453</v>
      </c>
      <c r="I29" s="107">
        <f t="shared" si="37"/>
        <v>8.7741280617570583E-2</v>
      </c>
      <c r="J29" s="153"/>
      <c r="K29" s="121">
        <f t="shared" si="38"/>
        <v>932</v>
      </c>
      <c r="L29" s="122">
        <f t="shared" si="29"/>
        <v>1481.2094846291154</v>
      </c>
      <c r="M29" s="122">
        <f t="shared" si="30"/>
        <v>885.02067558456861</v>
      </c>
      <c r="N29" s="122">
        <f t="shared" si="31"/>
        <v>1481.2094846291154</v>
      </c>
      <c r="O29" s="122">
        <f t="shared" si="32"/>
        <v>2655.062026753706</v>
      </c>
      <c r="P29" s="122">
        <f t="shared" si="33"/>
        <v>1173.8525421245906</v>
      </c>
      <c r="Q29" s="123">
        <f t="shared" si="39"/>
        <v>77.08784491502206</v>
      </c>
      <c r="R29" s="127">
        <f t="shared" si="40"/>
        <v>1.6736439334038786</v>
      </c>
      <c r="S29" s="128">
        <f t="shared" si="41"/>
        <v>17</v>
      </c>
      <c r="T29" s="90"/>
      <c r="U29" s="91"/>
      <c r="V29" s="91"/>
      <c r="W29" s="91"/>
      <c r="X29" s="91"/>
      <c r="Y29" s="91"/>
      <c r="Z29" s="91"/>
      <c r="AA29" s="91"/>
      <c r="AB29" s="91"/>
      <c r="AC29" s="91"/>
      <c r="AD29" s="84"/>
      <c r="AE29" s="84"/>
      <c r="AF29" s="84"/>
      <c r="AG29" s="84"/>
    </row>
    <row r="30" spans="1:34" s="16" customFormat="1" hidden="1">
      <c r="A30" s="188">
        <f t="shared" si="34"/>
        <v>18</v>
      </c>
      <c r="B30" s="106">
        <f t="shared" ref="B30:C30" si="51">B$4+B$5*A30+B$6*A30*A30</f>
        <v>1.7626028285290054</v>
      </c>
      <c r="C30" s="106">
        <f t="shared" si="51"/>
        <v>1.0368353708955118</v>
      </c>
      <c r="D30" s="106">
        <f t="shared" si="26"/>
        <v>1.7626028285290054</v>
      </c>
      <c r="E30" s="106">
        <f t="shared" si="27"/>
        <v>3.1105061126865357</v>
      </c>
      <c r="F30" s="106">
        <f t="shared" si="28"/>
        <v>1.3479032841575302</v>
      </c>
      <c r="G30" s="107">
        <f t="shared" si="36"/>
        <v>0.1733222656222293</v>
      </c>
      <c r="H30" s="107">
        <f t="shared" si="19"/>
        <v>0.26172711402376114</v>
      </c>
      <c r="I30" s="107">
        <f t="shared" si="37"/>
        <v>8.8404848401531844E-2</v>
      </c>
      <c r="J30" s="153"/>
      <c r="K30" s="121">
        <f t="shared" si="38"/>
        <v>928</v>
      </c>
      <c r="L30" s="122">
        <f t="shared" si="29"/>
        <v>1635.6954248749171</v>
      </c>
      <c r="M30" s="122">
        <f t="shared" si="30"/>
        <v>962.18322419103492</v>
      </c>
      <c r="N30" s="122">
        <f t="shared" si="31"/>
        <v>1635.6954248749171</v>
      </c>
      <c r="O30" s="122">
        <f t="shared" si="32"/>
        <v>2886.5496725731045</v>
      </c>
      <c r="P30" s="122">
        <f t="shared" si="33"/>
        <v>1250.8542476981875</v>
      </c>
      <c r="Q30" s="123">
        <f t="shared" si="39"/>
        <v>77.001705573596837</v>
      </c>
      <c r="R30" s="127">
        <f t="shared" si="40"/>
        <v>1.6999833126898924</v>
      </c>
      <c r="S30" s="128">
        <f t="shared" si="41"/>
        <v>18</v>
      </c>
      <c r="T30" s="90"/>
      <c r="U30" s="91"/>
      <c r="V30" s="91"/>
      <c r="W30" s="91"/>
      <c r="X30" s="91"/>
      <c r="Y30" s="91"/>
      <c r="Z30" s="91"/>
      <c r="AA30" s="91"/>
      <c r="AB30" s="91"/>
      <c r="AC30" s="91"/>
      <c r="AD30" s="84"/>
      <c r="AE30" s="84"/>
      <c r="AF30" s="84"/>
      <c r="AG30" s="84"/>
    </row>
    <row r="31" spans="1:34" s="16" customFormat="1" hidden="1">
      <c r="A31" s="188">
        <f t="shared" si="34"/>
        <v>19</v>
      </c>
      <c r="B31" s="106">
        <f t="shared" ref="B31:C31" si="52">B$4+B$5*A31+B$6*A31*A31</f>
        <v>1.9428506368063603</v>
      </c>
      <c r="C31" s="106">
        <f t="shared" si="52"/>
        <v>1.1264856068957021</v>
      </c>
      <c r="D31" s="106">
        <f t="shared" si="26"/>
        <v>1.9428506368063603</v>
      </c>
      <c r="E31" s="106">
        <f t="shared" si="27"/>
        <v>3.3794568206871061</v>
      </c>
      <c r="F31" s="106">
        <f t="shared" si="28"/>
        <v>1.4366061838807458</v>
      </c>
      <c r="G31" s="107">
        <f t="shared" si="36"/>
        <v>0.18024780827735487</v>
      </c>
      <c r="H31" s="107">
        <f t="shared" si="19"/>
        <v>0.26895070800057042</v>
      </c>
      <c r="I31" s="107">
        <f t="shared" si="37"/>
        <v>8.8702899723215545E-2</v>
      </c>
      <c r="J31" s="153"/>
      <c r="K31" s="121">
        <f t="shared" si="38"/>
        <v>924</v>
      </c>
      <c r="L31" s="122">
        <f t="shared" si="29"/>
        <v>1795.1939884090768</v>
      </c>
      <c r="M31" s="122">
        <f t="shared" si="30"/>
        <v>1040.8727007716288</v>
      </c>
      <c r="N31" s="122">
        <f t="shared" si="31"/>
        <v>1795.1939884090768</v>
      </c>
      <c r="O31" s="122">
        <f t="shared" si="32"/>
        <v>3122.6181023148865</v>
      </c>
      <c r="P31" s="122">
        <f t="shared" si="33"/>
        <v>1327.4241139058097</v>
      </c>
      <c r="Q31" s="123">
        <f t="shared" si="39"/>
        <v>76.569866207622226</v>
      </c>
      <c r="R31" s="127">
        <f t="shared" si="40"/>
        <v>1.724700808348848</v>
      </c>
      <c r="S31" s="128">
        <f t="shared" si="41"/>
        <v>19</v>
      </c>
      <c r="T31" s="90"/>
      <c r="U31" s="91"/>
      <c r="V31" s="91"/>
      <c r="W31" s="91"/>
      <c r="X31" s="91"/>
      <c r="Y31" s="91"/>
      <c r="Z31" s="91"/>
      <c r="AA31" s="91"/>
      <c r="AB31" s="91"/>
      <c r="AC31" s="91"/>
      <c r="AD31" s="84"/>
      <c r="AE31" s="84"/>
      <c r="AF31" s="84"/>
      <c r="AG31" s="84"/>
    </row>
    <row r="32" spans="1:34" hidden="1">
      <c r="A32" s="188">
        <f t="shared" si="34"/>
        <v>20</v>
      </c>
      <c r="B32" s="106">
        <f>B$4+B$5*A32+B$6*A32*A32</f>
        <v>2.1300239877388405</v>
      </c>
      <c r="C32" s="106">
        <f>C$4+C$5*B32+C$6*B32*B32</f>
        <v>1.2184170003465771</v>
      </c>
      <c r="D32" s="106">
        <f t="shared" ref="D32:D63" si="53">B32*E$1</f>
        <v>2.1300239877388405</v>
      </c>
      <c r="E32" s="106">
        <f t="shared" ref="E32:E63" si="54">C32*E$2</f>
        <v>3.6552510010397312</v>
      </c>
      <c r="F32" s="106">
        <f>E32-D32</f>
        <v>1.5252270133008907</v>
      </c>
      <c r="G32" s="107">
        <f t="shared" si="36"/>
        <v>0.18717335093248022</v>
      </c>
      <c r="H32" s="107">
        <f t="shared" si="19"/>
        <v>0.27579418035262515</v>
      </c>
      <c r="I32" s="107">
        <f t="shared" si="37"/>
        <v>8.8620829420144931E-2</v>
      </c>
      <c r="K32" s="121">
        <f t="shared" si="38"/>
        <v>920</v>
      </c>
      <c r="L32" s="122">
        <f>B32*K32</f>
        <v>1959.6220687197333</v>
      </c>
      <c r="M32" s="122">
        <f>K32*C32</f>
        <v>1120.9436403188508</v>
      </c>
      <c r="N32" s="122">
        <f t="shared" ref="N32:N63" si="55">L32*E$1</f>
        <v>1959.6220687197333</v>
      </c>
      <c r="O32" s="122">
        <f t="shared" ref="O32:O63" si="56">M32*E$2</f>
        <v>3362.8309209565523</v>
      </c>
      <c r="P32" s="122">
        <f>O32-N32</f>
        <v>1403.208852236819</v>
      </c>
      <c r="Q32" s="123">
        <f t="shared" si="39"/>
        <v>75.784738331009294</v>
      </c>
      <c r="R32" s="127">
        <f t="shared" ref="R32:R56" si="57">L32/M32</f>
        <v>1.7481896486448878</v>
      </c>
      <c r="S32" s="128">
        <f>A32</f>
        <v>20</v>
      </c>
      <c r="AD32" s="83"/>
      <c r="AH32"/>
    </row>
    <row r="33" spans="1:34" hidden="1">
      <c r="A33" s="128">
        <f>A32+1</f>
        <v>21</v>
      </c>
      <c r="B33" s="106">
        <f t="shared" ref="B33:C82" si="58">B$4+B$5*A33+B$6*A33*A33</f>
        <v>2.3241228813264465</v>
      </c>
      <c r="C33" s="106">
        <f t="shared" si="58"/>
        <v>1.3124979756523913</v>
      </c>
      <c r="D33" s="106">
        <f t="shared" si="53"/>
        <v>2.3241228813264465</v>
      </c>
      <c r="E33" s="106">
        <f t="shared" si="54"/>
        <v>3.937493926957174</v>
      </c>
      <c r="F33" s="106">
        <f t="shared" ref="F33:F82" si="59">E33-D33</f>
        <v>1.6133710456307275</v>
      </c>
      <c r="G33" s="107">
        <f>D33-D32</f>
        <v>0.19409889358760601</v>
      </c>
      <c r="H33" s="107">
        <f t="shared" si="19"/>
        <v>0.28224292591744282</v>
      </c>
      <c r="I33" s="107">
        <f>F33-F32</f>
        <v>8.8144032329836808E-2</v>
      </c>
      <c r="K33" s="121">
        <f>K32-M$2</f>
        <v>916</v>
      </c>
      <c r="L33" s="122">
        <f>L32+(B33-B32)*K33</f>
        <v>2137.4166552459806</v>
      </c>
      <c r="M33" s="122">
        <f t="shared" ref="M33:M82" si="60">K33*C33</f>
        <v>1202.2481456975904</v>
      </c>
      <c r="N33" s="122">
        <f t="shared" si="55"/>
        <v>2137.4166552459806</v>
      </c>
      <c r="O33" s="122">
        <f t="shared" si="56"/>
        <v>3606.7444370927715</v>
      </c>
      <c r="P33" s="122">
        <f t="shared" ref="P33:P82" si="61">O33-N33</f>
        <v>1469.3277818467909</v>
      </c>
      <c r="Q33" s="123">
        <f>P33-P32</f>
        <v>66.118929609971929</v>
      </c>
      <c r="R33" s="127">
        <f t="shared" si="57"/>
        <v>1.7778498248427488</v>
      </c>
      <c r="S33" s="128">
        <f t="shared" ref="S33:S82" si="62">A33</f>
        <v>21</v>
      </c>
      <c r="T33" s="110"/>
      <c r="AD33" s="83"/>
      <c r="AH33"/>
    </row>
    <row r="34" spans="1:34" hidden="1">
      <c r="A34" s="128">
        <f t="shared" ref="A34:A82" si="63">A33+1</f>
        <v>22</v>
      </c>
      <c r="B34" s="106">
        <f t="shared" si="58"/>
        <v>2.5251473175691777</v>
      </c>
      <c r="C34" s="106">
        <f t="shared" si="58"/>
        <v>1.4085920888299068</v>
      </c>
      <c r="D34" s="106">
        <f t="shared" si="53"/>
        <v>2.5251473175691777</v>
      </c>
      <c r="E34" s="106">
        <f t="shared" si="54"/>
        <v>4.2257762664897207</v>
      </c>
      <c r="F34" s="106">
        <f t="shared" si="59"/>
        <v>1.7006289489205431</v>
      </c>
      <c r="G34" s="107">
        <f t="shared" ref="G34:H82" si="64">D34-D33</f>
        <v>0.20102443624273114</v>
      </c>
      <c r="H34" s="107">
        <f t="shared" si="19"/>
        <v>0.28828233953254667</v>
      </c>
      <c r="I34" s="107">
        <f t="shared" ref="I34:I82" si="65">F34-F33</f>
        <v>8.725790328981553E-2</v>
      </c>
      <c r="K34" s="121">
        <f t="shared" ref="K34:K64" si="66">K33-M$2</f>
        <v>912</v>
      </c>
      <c r="L34" s="122">
        <f t="shared" ref="L34:L82" si="67">L33+(B34-B33)*K34</f>
        <v>2320.7509410993512</v>
      </c>
      <c r="M34" s="122">
        <f t="shared" si="60"/>
        <v>1284.6359850128749</v>
      </c>
      <c r="N34" s="122">
        <f t="shared" si="55"/>
        <v>2320.7509410993512</v>
      </c>
      <c r="O34" s="122">
        <f t="shared" si="56"/>
        <v>3853.907955038625</v>
      </c>
      <c r="P34" s="122">
        <f t="shared" si="61"/>
        <v>1533.1570139392738</v>
      </c>
      <c r="Q34" s="123">
        <f t="shared" ref="Q34:Q82" si="68">P34-P33</f>
        <v>63.829232092482926</v>
      </c>
      <c r="R34" s="127">
        <f t="shared" si="57"/>
        <v>1.8065436187170889</v>
      </c>
      <c r="S34" s="128">
        <f t="shared" si="62"/>
        <v>22</v>
      </c>
      <c r="AD34" s="83"/>
      <c r="AH34"/>
    </row>
    <row r="35" spans="1:34" hidden="1">
      <c r="A35" s="128">
        <f t="shared" si="63"/>
        <v>23</v>
      </c>
      <c r="B35" s="106">
        <f t="shared" si="58"/>
        <v>2.7330972964670339</v>
      </c>
      <c r="C35" s="106">
        <f t="shared" si="58"/>
        <v>1.5065580275083927</v>
      </c>
      <c r="D35" s="106">
        <f t="shared" si="53"/>
        <v>2.7330972964670339</v>
      </c>
      <c r="E35" s="106">
        <f t="shared" si="54"/>
        <v>4.519674082525178</v>
      </c>
      <c r="F35" s="106">
        <f t="shared" si="59"/>
        <v>1.7865767860581441</v>
      </c>
      <c r="G35" s="107">
        <f t="shared" si="64"/>
        <v>0.20794997889785627</v>
      </c>
      <c r="H35" s="107">
        <f t="shared" si="19"/>
        <v>0.29389781603545728</v>
      </c>
      <c r="I35" s="107">
        <f t="shared" si="65"/>
        <v>8.5947837137601013E-2</v>
      </c>
      <c r="K35" s="121">
        <f t="shared" si="66"/>
        <v>908</v>
      </c>
      <c r="L35" s="122">
        <f t="shared" si="67"/>
        <v>2509.5695219386048</v>
      </c>
      <c r="M35" s="122">
        <f t="shared" si="60"/>
        <v>1367.9546889776207</v>
      </c>
      <c r="N35" s="122">
        <f t="shared" si="55"/>
        <v>2509.5695219386048</v>
      </c>
      <c r="O35" s="122">
        <f t="shared" si="56"/>
        <v>4103.8640669328615</v>
      </c>
      <c r="P35" s="122">
        <f t="shared" si="61"/>
        <v>1594.2945449942567</v>
      </c>
      <c r="Q35" s="123">
        <f t="shared" si="68"/>
        <v>61.137531054982901</v>
      </c>
      <c r="R35" s="127">
        <f t="shared" si="57"/>
        <v>1.834541408541976</v>
      </c>
      <c r="S35" s="128">
        <f t="shared" si="62"/>
        <v>23</v>
      </c>
      <c r="AD35" s="83"/>
      <c r="AH35"/>
    </row>
    <row r="36" spans="1:34">
      <c r="A36" s="128">
        <f t="shared" si="63"/>
        <v>24</v>
      </c>
      <c r="B36" s="106">
        <f t="shared" si="58"/>
        <v>2.9479728180200162</v>
      </c>
      <c r="C36" s="106">
        <f t="shared" si="58"/>
        <v>1.6062496109296247</v>
      </c>
      <c r="D36" s="106">
        <f t="shared" si="53"/>
        <v>2.9479728180200162</v>
      </c>
      <c r="E36" s="106">
        <f t="shared" si="54"/>
        <v>4.8187488327888737</v>
      </c>
      <c r="F36" s="106">
        <f t="shared" si="59"/>
        <v>1.8707760147688575</v>
      </c>
      <c r="G36" s="107">
        <f t="shared" si="64"/>
        <v>0.21487552155298228</v>
      </c>
      <c r="H36" s="107">
        <f t="shared" si="19"/>
        <v>0.29907475026369568</v>
      </c>
      <c r="I36" s="107">
        <f t="shared" si="65"/>
        <v>8.4199228710713392E-2</v>
      </c>
      <c r="K36" s="121">
        <f t="shared" si="66"/>
        <v>904</v>
      </c>
      <c r="L36" s="122">
        <f t="shared" si="67"/>
        <v>2703.8169934225007</v>
      </c>
      <c r="M36" s="122">
        <f t="shared" si="60"/>
        <v>1452.0496482803808</v>
      </c>
      <c r="N36" s="122">
        <f t="shared" si="55"/>
        <v>2703.8169934225007</v>
      </c>
      <c r="O36" s="122">
        <f t="shared" si="56"/>
        <v>4356.1489448411421</v>
      </c>
      <c r="P36" s="122">
        <f t="shared" si="61"/>
        <v>1652.3319514186414</v>
      </c>
      <c r="Q36" s="123">
        <f t="shared" si="68"/>
        <v>58.037406424384699</v>
      </c>
      <c r="R36" s="127">
        <f t="shared" si="57"/>
        <v>1.8620692457895986</v>
      </c>
      <c r="S36" s="128">
        <f t="shared" si="62"/>
        <v>24</v>
      </c>
      <c r="AD36" s="83"/>
      <c r="AH36"/>
    </row>
    <row r="37" spans="1:34">
      <c r="A37" s="128">
        <f t="shared" si="63"/>
        <v>25</v>
      </c>
      <c r="B37" s="106">
        <f t="shared" si="58"/>
        <v>3.1697738822281236</v>
      </c>
      <c r="C37" s="106">
        <f t="shared" si="58"/>
        <v>1.707515789947885</v>
      </c>
      <c r="D37" s="106">
        <f t="shared" si="53"/>
        <v>3.1697738822281236</v>
      </c>
      <c r="E37" s="106">
        <f t="shared" si="54"/>
        <v>5.1225473698436552</v>
      </c>
      <c r="F37" s="106">
        <f t="shared" si="59"/>
        <v>1.9527734876155316</v>
      </c>
      <c r="G37" s="107">
        <f t="shared" si="64"/>
        <v>0.22180106420810741</v>
      </c>
      <c r="H37" s="107">
        <f t="shared" si="19"/>
        <v>0.30379853705478155</v>
      </c>
      <c r="I37" s="107">
        <f t="shared" si="65"/>
        <v>8.1997472846674135E-2</v>
      </c>
      <c r="K37" s="121">
        <f t="shared" si="66"/>
        <v>900</v>
      </c>
      <c r="L37" s="122">
        <f t="shared" si="67"/>
        <v>2903.4379512097976</v>
      </c>
      <c r="M37" s="122">
        <f t="shared" si="60"/>
        <v>1536.7642109530966</v>
      </c>
      <c r="N37" s="122">
        <f t="shared" si="55"/>
        <v>2903.4379512097976</v>
      </c>
      <c r="O37" s="122">
        <f t="shared" si="56"/>
        <v>4610.2926328592894</v>
      </c>
      <c r="P37" s="122">
        <f t="shared" si="61"/>
        <v>1706.8546816494918</v>
      </c>
      <c r="Q37" s="123">
        <f t="shared" si="68"/>
        <v>54.522730230850357</v>
      </c>
      <c r="R37" s="127">
        <f t="shared" si="57"/>
        <v>1.8893190839010325</v>
      </c>
      <c r="S37" s="128">
        <f t="shared" si="62"/>
        <v>25</v>
      </c>
      <c r="AD37" s="83"/>
      <c r="AH37"/>
    </row>
    <row r="38" spans="1:34">
      <c r="A38" s="128">
        <f t="shared" si="63"/>
        <v>26</v>
      </c>
      <c r="B38" s="106">
        <f t="shared" si="58"/>
        <v>3.398500489091357</v>
      </c>
      <c r="C38" s="106">
        <f t="shared" si="58"/>
        <v>1.8102006470299647</v>
      </c>
      <c r="D38" s="106">
        <f t="shared" si="53"/>
        <v>3.398500489091357</v>
      </c>
      <c r="E38" s="106">
        <f t="shared" si="54"/>
        <v>5.4306019410898942</v>
      </c>
      <c r="F38" s="106">
        <f t="shared" si="59"/>
        <v>2.0321014519985372</v>
      </c>
      <c r="G38" s="107">
        <f t="shared" si="64"/>
        <v>0.22872660686323343</v>
      </c>
      <c r="H38" s="107">
        <f t="shared" si="19"/>
        <v>0.30805457124623903</v>
      </c>
      <c r="I38" s="107">
        <f t="shared" si="65"/>
        <v>7.93279643830056E-2</v>
      </c>
      <c r="K38" s="121">
        <f t="shared" si="66"/>
        <v>896</v>
      </c>
      <c r="L38" s="122">
        <f t="shared" si="67"/>
        <v>3108.3769909592547</v>
      </c>
      <c r="M38" s="122">
        <f t="shared" si="60"/>
        <v>1621.9397797388483</v>
      </c>
      <c r="N38" s="122">
        <f t="shared" si="55"/>
        <v>3108.3769909592547</v>
      </c>
      <c r="O38" s="122">
        <f t="shared" si="56"/>
        <v>4865.8193392165449</v>
      </c>
      <c r="P38" s="122">
        <f t="shared" si="61"/>
        <v>1757.4423482572902</v>
      </c>
      <c r="Q38" s="123">
        <f t="shared" si="68"/>
        <v>50.587666607798383</v>
      </c>
      <c r="R38" s="127">
        <f t="shared" si="57"/>
        <v>1.9164564737784164</v>
      </c>
      <c r="S38" s="128">
        <f t="shared" si="62"/>
        <v>26</v>
      </c>
      <c r="AD38" s="83"/>
      <c r="AH38"/>
    </row>
    <row r="39" spans="1:34">
      <c r="A39" s="128">
        <f t="shared" si="63"/>
        <v>27</v>
      </c>
      <c r="B39" s="106">
        <f t="shared" si="58"/>
        <v>3.6341526386097152</v>
      </c>
      <c r="C39" s="106">
        <f t="shared" si="58"/>
        <v>1.9141433962551593</v>
      </c>
      <c r="D39" s="106">
        <f t="shared" si="53"/>
        <v>3.6341526386097152</v>
      </c>
      <c r="E39" s="106">
        <f t="shared" si="54"/>
        <v>5.7424301887654776</v>
      </c>
      <c r="F39" s="106">
        <f t="shared" si="59"/>
        <v>2.1082775501557625</v>
      </c>
      <c r="G39" s="107">
        <f t="shared" si="64"/>
        <v>0.23565214951835811</v>
      </c>
      <c r="H39" s="107">
        <f t="shared" si="19"/>
        <v>0.31182824767558337</v>
      </c>
      <c r="I39" s="107">
        <f t="shared" si="65"/>
        <v>7.6176098157225258E-2</v>
      </c>
      <c r="K39" s="121">
        <f t="shared" si="66"/>
        <v>892</v>
      </c>
      <c r="L39" s="122">
        <f t="shared" si="67"/>
        <v>3318.57870832963</v>
      </c>
      <c r="M39" s="122">
        <f t="shared" si="60"/>
        <v>1707.4159094596021</v>
      </c>
      <c r="N39" s="122">
        <f t="shared" si="55"/>
        <v>3318.57870832963</v>
      </c>
      <c r="O39" s="122">
        <f t="shared" si="56"/>
        <v>5122.2477283788066</v>
      </c>
      <c r="P39" s="122">
        <f t="shared" si="61"/>
        <v>1803.6690200491767</v>
      </c>
      <c r="Q39" s="123">
        <f t="shared" si="68"/>
        <v>46.226671791886474</v>
      </c>
      <c r="R39" s="127">
        <f t="shared" si="57"/>
        <v>1.9436264415387587</v>
      </c>
      <c r="S39" s="128">
        <f t="shared" si="62"/>
        <v>27</v>
      </c>
      <c r="AD39" s="83"/>
      <c r="AH39"/>
    </row>
    <row r="40" spans="1:34">
      <c r="A40" s="128">
        <f t="shared" si="63"/>
        <v>28</v>
      </c>
      <c r="B40" s="106">
        <f t="shared" si="58"/>
        <v>3.8767303307831993</v>
      </c>
      <c r="C40" s="106">
        <f t="shared" si="58"/>
        <v>2.019178383315273</v>
      </c>
      <c r="D40" s="106">
        <f t="shared" si="53"/>
        <v>3.8767303307831993</v>
      </c>
      <c r="E40" s="106">
        <f t="shared" si="54"/>
        <v>6.057535149945819</v>
      </c>
      <c r="F40" s="106">
        <f t="shared" si="59"/>
        <v>2.1808048191626197</v>
      </c>
      <c r="G40" s="107">
        <f t="shared" si="64"/>
        <v>0.24257769217348413</v>
      </c>
      <c r="H40" s="107">
        <f t="shared" si="19"/>
        <v>0.31510496118034137</v>
      </c>
      <c r="I40" s="107">
        <f t="shared" si="65"/>
        <v>7.2527269006857242E-2</v>
      </c>
      <c r="K40" s="121">
        <f t="shared" si="66"/>
        <v>888</v>
      </c>
      <c r="L40" s="122">
        <f t="shared" si="67"/>
        <v>3533.987698979684</v>
      </c>
      <c r="M40" s="122">
        <f t="shared" si="60"/>
        <v>1793.0304043839624</v>
      </c>
      <c r="N40" s="122">
        <f t="shared" si="55"/>
        <v>3533.987698979684</v>
      </c>
      <c r="O40" s="122">
        <f t="shared" si="56"/>
        <v>5379.0912131518871</v>
      </c>
      <c r="P40" s="122">
        <f t="shared" si="61"/>
        <v>1845.1035141722032</v>
      </c>
      <c r="Q40" s="123">
        <f t="shared" si="68"/>
        <v>41.434494123026525</v>
      </c>
      <c r="R40" s="127">
        <f t="shared" si="57"/>
        <v>1.9709580441798857</v>
      </c>
      <c r="S40" s="128">
        <f t="shared" si="62"/>
        <v>28</v>
      </c>
      <c r="AD40" s="83"/>
      <c r="AH40"/>
    </row>
    <row r="41" spans="1:34">
      <c r="A41" s="128">
        <f t="shared" si="63"/>
        <v>29</v>
      </c>
      <c r="B41" s="106">
        <f t="shared" si="58"/>
        <v>4.126233565611809</v>
      </c>
      <c r="C41" s="106">
        <f t="shared" si="58"/>
        <v>2.1251350855146169</v>
      </c>
      <c r="D41" s="106">
        <f t="shared" si="53"/>
        <v>4.126233565611809</v>
      </c>
      <c r="E41" s="106">
        <f t="shared" si="54"/>
        <v>6.3754052565438508</v>
      </c>
      <c r="F41" s="106">
        <f t="shared" si="59"/>
        <v>2.2491716909320418</v>
      </c>
      <c r="G41" s="107">
        <f t="shared" si="64"/>
        <v>0.2495032348286097</v>
      </c>
      <c r="H41" s="107">
        <f t="shared" si="19"/>
        <v>0.31787010659803183</v>
      </c>
      <c r="I41" s="107">
        <f t="shared" si="65"/>
        <v>6.8366871769422133E-2</v>
      </c>
      <c r="K41" s="121">
        <f t="shared" si="66"/>
        <v>884</v>
      </c>
      <c r="L41" s="122">
        <f t="shared" si="67"/>
        <v>3754.5485585681749</v>
      </c>
      <c r="M41" s="122">
        <f t="shared" si="60"/>
        <v>1878.6194155949213</v>
      </c>
      <c r="N41" s="122">
        <f t="shared" si="55"/>
        <v>3754.5485585681749</v>
      </c>
      <c r="O41" s="122">
        <f t="shared" si="56"/>
        <v>5635.8582467847637</v>
      </c>
      <c r="P41" s="122">
        <f t="shared" si="61"/>
        <v>1881.3096882165887</v>
      </c>
      <c r="Q41" s="123">
        <f t="shared" si="68"/>
        <v>36.206174044385534</v>
      </c>
      <c r="R41" s="127">
        <f t="shared" si="57"/>
        <v>1.9985679522955342</v>
      </c>
      <c r="S41" s="128">
        <f t="shared" si="62"/>
        <v>29</v>
      </c>
      <c r="AD41" s="83"/>
      <c r="AH41"/>
    </row>
    <row r="42" spans="1:34">
      <c r="A42" s="128">
        <f t="shared" si="63"/>
        <v>30</v>
      </c>
      <c r="B42" s="106">
        <f t="shared" si="58"/>
        <v>4.3826623430955438</v>
      </c>
      <c r="C42" s="106">
        <f t="shared" si="58"/>
        <v>2.2318381117700081</v>
      </c>
      <c r="D42" s="106">
        <f t="shared" si="53"/>
        <v>4.3826623430955438</v>
      </c>
      <c r="E42" s="106">
        <f t="shared" si="54"/>
        <v>6.6955143353100244</v>
      </c>
      <c r="F42" s="106">
        <f t="shared" si="59"/>
        <v>2.3128519922144806</v>
      </c>
      <c r="G42" s="107">
        <f t="shared" si="64"/>
        <v>0.25642877748373483</v>
      </c>
      <c r="H42" s="107">
        <f t="shared" si="19"/>
        <v>0.32010907876617356</v>
      </c>
      <c r="I42" s="107">
        <f t="shared" si="65"/>
        <v>6.3680301282438734E-2</v>
      </c>
      <c r="K42" s="121">
        <f t="shared" si="66"/>
        <v>880</v>
      </c>
      <c r="L42" s="122">
        <f t="shared" si="67"/>
        <v>3980.2058827538617</v>
      </c>
      <c r="M42" s="122">
        <f t="shared" si="60"/>
        <v>1964.0175383576072</v>
      </c>
      <c r="N42" s="122">
        <f t="shared" si="55"/>
        <v>3980.2058827538617</v>
      </c>
      <c r="O42" s="122">
        <f t="shared" si="56"/>
        <v>5892.0526150728219</v>
      </c>
      <c r="P42" s="122">
        <f t="shared" si="61"/>
        <v>1911.8467323189602</v>
      </c>
      <c r="Q42" s="123">
        <f t="shared" si="68"/>
        <v>30.53704410237151</v>
      </c>
      <c r="R42" s="127">
        <f t="shared" si="57"/>
        <v>2.026563309654696</v>
      </c>
      <c r="S42" s="128">
        <f t="shared" si="62"/>
        <v>30</v>
      </c>
      <c r="AD42" s="83"/>
      <c r="AH42"/>
    </row>
    <row r="43" spans="1:34">
      <c r="A43" s="128">
        <f t="shared" si="63"/>
        <v>31</v>
      </c>
      <c r="B43" s="106">
        <f t="shared" si="58"/>
        <v>4.6460166632344038</v>
      </c>
      <c r="C43" s="106">
        <f t="shared" si="58"/>
        <v>2.3391072026107715</v>
      </c>
      <c r="D43" s="106">
        <f t="shared" si="53"/>
        <v>4.6460166632344038</v>
      </c>
      <c r="E43" s="106">
        <f t="shared" si="54"/>
        <v>7.0173216078323151</v>
      </c>
      <c r="F43" s="106">
        <f t="shared" si="59"/>
        <v>2.3713049445979113</v>
      </c>
      <c r="G43" s="107">
        <f t="shared" si="64"/>
        <v>0.26335432013885995</v>
      </c>
      <c r="H43" s="107">
        <f t="shared" si="19"/>
        <v>0.32180727252229069</v>
      </c>
      <c r="I43" s="107">
        <f t="shared" si="65"/>
        <v>5.8452952383430734E-2</v>
      </c>
      <c r="K43" s="121">
        <f t="shared" si="66"/>
        <v>876</v>
      </c>
      <c r="L43" s="122">
        <f t="shared" si="67"/>
        <v>4210.9042671955031</v>
      </c>
      <c r="M43" s="122">
        <f t="shared" si="60"/>
        <v>2049.0579094870359</v>
      </c>
      <c r="N43" s="122">
        <f t="shared" si="55"/>
        <v>4210.9042671955031</v>
      </c>
      <c r="O43" s="122">
        <f t="shared" si="56"/>
        <v>6147.1737284611081</v>
      </c>
      <c r="P43" s="122">
        <f t="shared" si="61"/>
        <v>1936.2694612656051</v>
      </c>
      <c r="Q43" s="123">
        <f t="shared" si="68"/>
        <v>24.422728946644838</v>
      </c>
      <c r="R43" s="127">
        <f t="shared" si="57"/>
        <v>2.055044051073045</v>
      </c>
      <c r="S43" s="128">
        <f t="shared" si="62"/>
        <v>31</v>
      </c>
      <c r="AD43" s="83"/>
      <c r="AH43"/>
    </row>
    <row r="44" spans="1:34">
      <c r="A44" s="128">
        <f t="shared" si="63"/>
        <v>32</v>
      </c>
      <c r="B44" s="106">
        <f t="shared" si="58"/>
        <v>4.9162965260283897</v>
      </c>
      <c r="C44" s="106">
        <f t="shared" si="58"/>
        <v>2.446757230178739</v>
      </c>
      <c r="D44" s="106">
        <f t="shared" si="53"/>
        <v>4.9162965260283897</v>
      </c>
      <c r="E44" s="106">
        <f t="shared" si="54"/>
        <v>7.3402716905362171</v>
      </c>
      <c r="F44" s="106">
        <f t="shared" si="59"/>
        <v>2.4239751645078274</v>
      </c>
      <c r="G44" s="107">
        <f t="shared" si="64"/>
        <v>0.27027986279398597</v>
      </c>
      <c r="H44" s="107">
        <f t="shared" si="19"/>
        <v>0.32295008270390202</v>
      </c>
      <c r="I44" s="107">
        <f t="shared" si="65"/>
        <v>5.267021990991605E-2</v>
      </c>
      <c r="K44" s="121">
        <f t="shared" si="66"/>
        <v>872</v>
      </c>
      <c r="L44" s="122">
        <f t="shared" si="67"/>
        <v>4446.5883075518586</v>
      </c>
      <c r="M44" s="122">
        <f t="shared" si="60"/>
        <v>2133.5723047158604</v>
      </c>
      <c r="N44" s="122">
        <f t="shared" si="55"/>
        <v>4446.5883075518586</v>
      </c>
      <c r="O44" s="122">
        <f t="shared" si="56"/>
        <v>6400.7169141475806</v>
      </c>
      <c r="P44" s="122">
        <f t="shared" si="61"/>
        <v>1954.128606595722</v>
      </c>
      <c r="Q44" s="123">
        <f t="shared" si="68"/>
        <v>17.859145330116917</v>
      </c>
      <c r="R44" s="127">
        <f t="shared" si="57"/>
        <v>2.0841048122547856</v>
      </c>
      <c r="S44" s="128">
        <f t="shared" si="62"/>
        <v>32</v>
      </c>
      <c r="AD44" s="83"/>
      <c r="AH44"/>
    </row>
    <row r="45" spans="1:34">
      <c r="A45" s="128">
        <f t="shared" si="63"/>
        <v>33</v>
      </c>
      <c r="B45" s="106">
        <f t="shared" si="58"/>
        <v>5.1935019314775008</v>
      </c>
      <c r="C45" s="106">
        <f t="shared" si="58"/>
        <v>2.5545981982282493</v>
      </c>
      <c r="D45" s="106">
        <f t="shared" si="53"/>
        <v>5.1935019314775008</v>
      </c>
      <c r="E45" s="106">
        <f t="shared" si="54"/>
        <v>7.6637945946847479</v>
      </c>
      <c r="F45" s="106">
        <f t="shared" si="59"/>
        <v>2.4702926632072471</v>
      </c>
      <c r="G45" s="107">
        <f t="shared" si="64"/>
        <v>0.2772054054491111</v>
      </c>
      <c r="H45" s="107">
        <f t="shared" si="19"/>
        <v>0.3235229041485308</v>
      </c>
      <c r="I45" s="107">
        <f t="shared" si="65"/>
        <v>4.6317498699419701E-2</v>
      </c>
      <c r="K45" s="121">
        <f t="shared" si="66"/>
        <v>868</v>
      </c>
      <c r="L45" s="122">
        <f t="shared" si="67"/>
        <v>4687.2025994816868</v>
      </c>
      <c r="M45" s="122">
        <f t="shared" si="60"/>
        <v>2217.3912360621202</v>
      </c>
      <c r="N45" s="122">
        <f t="shared" si="55"/>
        <v>4687.2025994816868</v>
      </c>
      <c r="O45" s="122">
        <f t="shared" si="56"/>
        <v>6652.1737081863612</v>
      </c>
      <c r="P45" s="122">
        <f t="shared" si="61"/>
        <v>1964.9711087046744</v>
      </c>
      <c r="Q45" s="123">
        <f t="shared" si="68"/>
        <v>10.842502108952431</v>
      </c>
      <c r="R45" s="127">
        <f t="shared" si="57"/>
        <v>2.1138365315296008</v>
      </c>
      <c r="S45" s="128">
        <f t="shared" si="62"/>
        <v>33</v>
      </c>
      <c r="AD45" s="83"/>
      <c r="AH45"/>
    </row>
    <row r="46" spans="1:34">
      <c r="A46" s="128">
        <f t="shared" si="63"/>
        <v>34</v>
      </c>
      <c r="B46" s="106">
        <f t="shared" si="58"/>
        <v>5.4776328795817379</v>
      </c>
      <c r="C46" s="106">
        <f t="shared" si="58"/>
        <v>2.6624352421261479</v>
      </c>
      <c r="D46" s="106">
        <f t="shared" si="53"/>
        <v>5.4776328795817379</v>
      </c>
      <c r="E46" s="106">
        <f t="shared" si="54"/>
        <v>7.9873057263784437</v>
      </c>
      <c r="F46" s="106">
        <f t="shared" si="59"/>
        <v>2.5096728467967058</v>
      </c>
      <c r="G46" s="107">
        <f t="shared" si="64"/>
        <v>0.28413094810423711</v>
      </c>
      <c r="H46" s="107">
        <f t="shared" si="19"/>
        <v>0.32351113169369583</v>
      </c>
      <c r="I46" s="107">
        <f t="shared" si="65"/>
        <v>3.9380183589458717E-2</v>
      </c>
      <c r="K46" s="121">
        <f t="shared" si="66"/>
        <v>864</v>
      </c>
      <c r="L46" s="122">
        <f t="shared" si="67"/>
        <v>4932.6917386437481</v>
      </c>
      <c r="M46" s="122">
        <f t="shared" si="60"/>
        <v>2300.3440491969918</v>
      </c>
      <c r="N46" s="122">
        <f t="shared" si="55"/>
        <v>4932.6917386437481</v>
      </c>
      <c r="O46" s="122">
        <f t="shared" si="56"/>
        <v>6901.032147590975</v>
      </c>
      <c r="P46" s="122">
        <f t="shared" si="61"/>
        <v>1968.3404089472269</v>
      </c>
      <c r="Q46" s="123">
        <f t="shared" si="68"/>
        <v>3.3693002425525265</v>
      </c>
      <c r="R46" s="127">
        <f t="shared" si="57"/>
        <v>2.1443278192954054</v>
      </c>
      <c r="S46" s="128">
        <f t="shared" si="62"/>
        <v>34</v>
      </c>
      <c r="AD46" s="83"/>
      <c r="AH46"/>
    </row>
    <row r="47" spans="1:34">
      <c r="A47" s="128">
        <f t="shared" si="63"/>
        <v>35</v>
      </c>
      <c r="B47" s="106">
        <f t="shared" si="58"/>
        <v>5.7686893703411002</v>
      </c>
      <c r="C47" s="106">
        <f t="shared" si="58"/>
        <v>2.7700686288517873</v>
      </c>
      <c r="D47" s="106">
        <f t="shared" si="53"/>
        <v>5.7686893703411002</v>
      </c>
      <c r="E47" s="106">
        <f t="shared" si="54"/>
        <v>8.3102058865553623</v>
      </c>
      <c r="F47" s="106">
        <f t="shared" si="59"/>
        <v>2.5415165162142621</v>
      </c>
      <c r="G47" s="107">
        <f t="shared" si="64"/>
        <v>0.29105649075936224</v>
      </c>
      <c r="H47" s="107">
        <f t="shared" si="19"/>
        <v>0.32290016017691858</v>
      </c>
      <c r="I47" s="107">
        <f t="shared" si="65"/>
        <v>3.1843669417556342E-2</v>
      </c>
      <c r="K47" s="121">
        <f t="shared" si="66"/>
        <v>860</v>
      </c>
      <c r="L47" s="122">
        <f t="shared" si="67"/>
        <v>5183.0003206967995</v>
      </c>
      <c r="M47" s="122">
        <f t="shared" si="60"/>
        <v>2382.2590208125371</v>
      </c>
      <c r="N47" s="122">
        <f t="shared" si="55"/>
        <v>5183.0003206967995</v>
      </c>
      <c r="O47" s="122">
        <f t="shared" si="56"/>
        <v>7146.7770624376117</v>
      </c>
      <c r="P47" s="122">
        <f t="shared" si="61"/>
        <v>1963.7767417408122</v>
      </c>
      <c r="Q47" s="123">
        <f t="shared" si="68"/>
        <v>-4.5636672064147206</v>
      </c>
      <c r="R47" s="127">
        <f t="shared" si="57"/>
        <v>2.1756661536028061</v>
      </c>
      <c r="S47" s="128">
        <f t="shared" si="62"/>
        <v>35</v>
      </c>
      <c r="AD47" s="83"/>
      <c r="AH47"/>
    </row>
    <row r="48" spans="1:34">
      <c r="A48" s="128">
        <f t="shared" si="63"/>
        <v>36</v>
      </c>
      <c r="B48" s="106">
        <f t="shared" si="58"/>
        <v>6.0666714037555876</v>
      </c>
      <c r="C48" s="106">
        <f t="shared" si="58"/>
        <v>2.8772937569970267</v>
      </c>
      <c r="D48" s="106">
        <f t="shared" si="53"/>
        <v>6.0666714037555876</v>
      </c>
      <c r="E48" s="106">
        <f t="shared" si="54"/>
        <v>8.6318812709910802</v>
      </c>
      <c r="F48" s="106">
        <f t="shared" si="59"/>
        <v>2.5652098672354926</v>
      </c>
      <c r="G48" s="107">
        <f t="shared" si="64"/>
        <v>0.29798203341448737</v>
      </c>
      <c r="H48" s="107">
        <f t="shared" si="19"/>
        <v>0.32167538443571786</v>
      </c>
      <c r="I48" s="107">
        <f t="shared" si="65"/>
        <v>2.3693351021230491E-2</v>
      </c>
      <c r="K48" s="121">
        <f t="shared" si="66"/>
        <v>856</v>
      </c>
      <c r="L48" s="122">
        <f t="shared" si="67"/>
        <v>5438.0729412996006</v>
      </c>
      <c r="M48" s="122">
        <f t="shared" si="60"/>
        <v>2462.9634559894548</v>
      </c>
      <c r="N48" s="122">
        <f t="shared" si="55"/>
        <v>5438.0729412996006</v>
      </c>
      <c r="O48" s="122">
        <f t="shared" si="56"/>
        <v>7388.8903679683644</v>
      </c>
      <c r="P48" s="122">
        <f t="shared" si="61"/>
        <v>1950.8174266687638</v>
      </c>
      <c r="Q48" s="123">
        <f t="shared" si="68"/>
        <v>-12.959315072048412</v>
      </c>
      <c r="R48" s="127">
        <f t="shared" si="57"/>
        <v>2.2079389477238283</v>
      </c>
      <c r="S48" s="128">
        <f t="shared" si="62"/>
        <v>36</v>
      </c>
      <c r="AD48" s="83"/>
      <c r="AH48"/>
    </row>
    <row r="49" spans="1:34">
      <c r="A49" s="128">
        <f t="shared" si="63"/>
        <v>37</v>
      </c>
      <c r="B49" s="106">
        <f t="shared" si="58"/>
        <v>6.3715789798252009</v>
      </c>
      <c r="C49" s="106">
        <f t="shared" si="58"/>
        <v>2.9839011567662341</v>
      </c>
      <c r="D49" s="106">
        <f t="shared" si="53"/>
        <v>6.3715789798252009</v>
      </c>
      <c r="E49" s="106">
        <f t="shared" si="54"/>
        <v>8.9517034702987033</v>
      </c>
      <c r="F49" s="106">
        <f t="shared" si="59"/>
        <v>2.5801244904735023</v>
      </c>
      <c r="G49" s="107">
        <f t="shared" si="64"/>
        <v>0.30490757606961338</v>
      </c>
      <c r="H49" s="107">
        <f t="shared" si="19"/>
        <v>0.31982219930762312</v>
      </c>
      <c r="I49" s="107">
        <f t="shared" si="65"/>
        <v>1.4914623238009739E-2</v>
      </c>
      <c r="K49" s="121">
        <f t="shared" si="66"/>
        <v>852</v>
      </c>
      <c r="L49" s="122">
        <f t="shared" si="67"/>
        <v>5697.8541961109113</v>
      </c>
      <c r="M49" s="122">
        <f t="shared" si="60"/>
        <v>2542.2837855648313</v>
      </c>
      <c r="N49" s="122">
        <f t="shared" si="55"/>
        <v>5697.8541961109113</v>
      </c>
      <c r="O49" s="122">
        <f t="shared" si="56"/>
        <v>7626.8513566944939</v>
      </c>
      <c r="P49" s="122">
        <f t="shared" si="61"/>
        <v>1928.9971605835826</v>
      </c>
      <c r="Q49" s="123">
        <f t="shared" si="68"/>
        <v>-21.820266085181174</v>
      </c>
      <c r="R49" s="127">
        <f t="shared" si="57"/>
        <v>2.2412345263984728</v>
      </c>
      <c r="S49" s="128">
        <f t="shared" si="62"/>
        <v>37</v>
      </c>
      <c r="AD49" s="83"/>
      <c r="AH49"/>
    </row>
    <row r="50" spans="1:34" s="113" customFormat="1">
      <c r="A50" s="129">
        <f t="shared" si="63"/>
        <v>38</v>
      </c>
      <c r="B50" s="114">
        <f t="shared" si="58"/>
        <v>6.6834120985499395</v>
      </c>
      <c r="C50" s="114">
        <f t="shared" si="58"/>
        <v>3.0896764899762816</v>
      </c>
      <c r="D50" s="114">
        <f t="shared" si="53"/>
        <v>6.6834120985499395</v>
      </c>
      <c r="E50" s="114">
        <f t="shared" si="54"/>
        <v>9.2690294699288458</v>
      </c>
      <c r="F50" s="114">
        <f t="shared" si="59"/>
        <v>2.5856173713789063</v>
      </c>
      <c r="G50" s="115">
        <f t="shared" si="64"/>
        <v>0.31183311872473851</v>
      </c>
      <c r="H50" s="107">
        <f t="shared" si="19"/>
        <v>0.31732599963014252</v>
      </c>
      <c r="I50" s="115">
        <f t="shared" si="65"/>
        <v>5.4928809054040073E-3</v>
      </c>
      <c r="J50" s="116"/>
      <c r="K50" s="124">
        <f t="shared" si="66"/>
        <v>848</v>
      </c>
      <c r="L50" s="125">
        <f t="shared" si="67"/>
        <v>5962.2886807894893</v>
      </c>
      <c r="M50" s="125">
        <f t="shared" si="60"/>
        <v>2620.0456634998868</v>
      </c>
      <c r="N50" s="125">
        <f t="shared" si="55"/>
        <v>5962.2886807894893</v>
      </c>
      <c r="O50" s="125">
        <f t="shared" si="56"/>
        <v>7860.1369904996609</v>
      </c>
      <c r="P50" s="125">
        <f t="shared" si="61"/>
        <v>1897.8483097101716</v>
      </c>
      <c r="Q50" s="126">
        <f t="shared" si="68"/>
        <v>-31.148850873410993</v>
      </c>
      <c r="R50" s="127">
        <f t="shared" si="57"/>
        <v>2.2756430408258597</v>
      </c>
      <c r="S50" s="128">
        <f t="shared" si="62"/>
        <v>38</v>
      </c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2"/>
      <c r="AE50" s="112"/>
      <c r="AF50" s="112"/>
      <c r="AG50" s="112"/>
    </row>
    <row r="51" spans="1:34" s="113" customFormat="1">
      <c r="A51" s="129">
        <f t="shared" si="63"/>
        <v>39</v>
      </c>
      <c r="B51" s="114">
        <f t="shared" si="58"/>
        <v>7.0021707599298031</v>
      </c>
      <c r="C51" s="114">
        <f t="shared" si="58"/>
        <v>3.1944005500565495</v>
      </c>
      <c r="D51" s="114">
        <f t="shared" si="53"/>
        <v>7.0021707599298031</v>
      </c>
      <c r="E51" s="114">
        <f t="shared" si="54"/>
        <v>9.5832016501696486</v>
      </c>
      <c r="F51" s="114">
        <f t="shared" si="59"/>
        <v>2.5810308902398456</v>
      </c>
      <c r="G51" s="115">
        <f t="shared" si="64"/>
        <v>0.31875866137986364</v>
      </c>
      <c r="H51" s="107">
        <f t="shared" si="19"/>
        <v>0.31417218024080285</v>
      </c>
      <c r="I51" s="115">
        <f t="shared" si="65"/>
        <v>-4.586481139060794E-3</v>
      </c>
      <c r="J51" s="116"/>
      <c r="K51" s="124">
        <f t="shared" si="66"/>
        <v>844</v>
      </c>
      <c r="L51" s="125">
        <f t="shared" si="67"/>
        <v>6231.3209909940942</v>
      </c>
      <c r="M51" s="125">
        <f t="shared" si="60"/>
        <v>2696.0740642477276</v>
      </c>
      <c r="N51" s="125">
        <f t="shared" si="55"/>
        <v>6231.3209909940942</v>
      </c>
      <c r="O51" s="125">
        <f t="shared" si="56"/>
        <v>8088.2221927431829</v>
      </c>
      <c r="P51" s="125">
        <f t="shared" si="61"/>
        <v>1856.9012017490886</v>
      </c>
      <c r="Q51" s="126">
        <f t="shared" si="68"/>
        <v>-40.94710796108302</v>
      </c>
      <c r="R51" s="127">
        <f t="shared" si="57"/>
        <v>2.3112573477215617</v>
      </c>
      <c r="S51" s="128">
        <f t="shared" si="62"/>
        <v>39</v>
      </c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2"/>
      <c r="AE51" s="112"/>
      <c r="AF51" s="112"/>
      <c r="AG51" s="112"/>
    </row>
    <row r="52" spans="1:34">
      <c r="A52" s="128">
        <f t="shared" si="63"/>
        <v>40</v>
      </c>
      <c r="B52" s="106">
        <f t="shared" si="58"/>
        <v>7.3278549639647927</v>
      </c>
      <c r="C52" s="106">
        <f t="shared" si="58"/>
        <v>3.2978492620489268</v>
      </c>
      <c r="D52" s="106">
        <f t="shared" si="53"/>
        <v>7.3278549639647927</v>
      </c>
      <c r="E52" s="106">
        <f t="shared" si="54"/>
        <v>9.8935477861467795</v>
      </c>
      <c r="F52" s="106">
        <f t="shared" si="59"/>
        <v>2.5656928221819868</v>
      </c>
      <c r="G52" s="107">
        <f t="shared" si="64"/>
        <v>0.32568420403498965</v>
      </c>
      <c r="H52" s="107">
        <f t="shared" si="19"/>
        <v>0.3103461359771309</v>
      </c>
      <c r="I52" s="107">
        <f t="shared" si="65"/>
        <v>-1.5338068057858756E-2</v>
      </c>
      <c r="K52" s="121">
        <f t="shared" si="66"/>
        <v>840</v>
      </c>
      <c r="L52" s="122">
        <f t="shared" si="67"/>
        <v>6504.8957223834859</v>
      </c>
      <c r="M52" s="122">
        <f t="shared" si="60"/>
        <v>2770.1933801210985</v>
      </c>
      <c r="N52" s="122">
        <f t="shared" si="55"/>
        <v>6504.8957223834859</v>
      </c>
      <c r="O52" s="122">
        <f t="shared" si="56"/>
        <v>8310.5801403632959</v>
      </c>
      <c r="P52" s="122">
        <f t="shared" si="61"/>
        <v>1805.68441797981</v>
      </c>
      <c r="Q52" s="123">
        <f t="shared" si="68"/>
        <v>-51.216783769278663</v>
      </c>
      <c r="R52" s="127">
        <f t="shared" si="57"/>
        <v>2.3481738744531713</v>
      </c>
      <c r="S52" s="128">
        <f t="shared" si="62"/>
        <v>40</v>
      </c>
      <c r="AD52" s="83"/>
      <c r="AH52"/>
    </row>
    <row r="53" spans="1:34">
      <c r="A53" s="128">
        <f t="shared" si="63"/>
        <v>41</v>
      </c>
      <c r="B53" s="106">
        <f t="shared" si="58"/>
        <v>7.6604647106549075</v>
      </c>
      <c r="C53" s="106">
        <f t="shared" si="58"/>
        <v>3.399793682607807</v>
      </c>
      <c r="D53" s="106">
        <f t="shared" si="53"/>
        <v>7.6604647106549075</v>
      </c>
      <c r="E53" s="106">
        <f t="shared" si="54"/>
        <v>10.199381047823421</v>
      </c>
      <c r="F53" s="106">
        <f t="shared" si="59"/>
        <v>2.5389163371685131</v>
      </c>
      <c r="G53" s="107">
        <f t="shared" si="64"/>
        <v>0.33260974669011478</v>
      </c>
      <c r="H53" s="107">
        <f t="shared" si="19"/>
        <v>0.30583326167664104</v>
      </c>
      <c r="I53" s="107">
        <f t="shared" si="65"/>
        <v>-2.6776485013473739E-2</v>
      </c>
      <c r="K53" s="121">
        <f t="shared" si="66"/>
        <v>836</v>
      </c>
      <c r="L53" s="122">
        <f t="shared" si="67"/>
        <v>6782.9574706164221</v>
      </c>
      <c r="M53" s="122">
        <f t="shared" si="60"/>
        <v>2842.2275186601269</v>
      </c>
      <c r="N53" s="122">
        <f t="shared" si="55"/>
        <v>6782.9574706164221</v>
      </c>
      <c r="O53" s="122">
        <f t="shared" si="56"/>
        <v>8526.6825559803801</v>
      </c>
      <c r="P53" s="122">
        <f t="shared" si="61"/>
        <v>1743.725085363958</v>
      </c>
      <c r="Q53" s="123">
        <f t="shared" si="68"/>
        <v>-61.959332615851963</v>
      </c>
      <c r="R53" s="127">
        <f t="shared" si="57"/>
        <v>2.3864934900827435</v>
      </c>
      <c r="S53" s="128">
        <f t="shared" si="62"/>
        <v>41</v>
      </c>
      <c r="AD53" s="83"/>
      <c r="AH53"/>
    </row>
    <row r="54" spans="1:34">
      <c r="A54" s="128">
        <f t="shared" si="63"/>
        <v>42</v>
      </c>
      <c r="B54" s="106">
        <f t="shared" si="58"/>
        <v>8.0000000000001492</v>
      </c>
      <c r="C54" s="106">
        <f t="shared" si="58"/>
        <v>3.5000000000000928</v>
      </c>
      <c r="D54" s="106">
        <f t="shared" si="53"/>
        <v>8.0000000000001492</v>
      </c>
      <c r="E54" s="106">
        <f t="shared" si="54"/>
        <v>10.500000000000279</v>
      </c>
      <c r="F54" s="106">
        <f t="shared" si="59"/>
        <v>2.5000000000001297</v>
      </c>
      <c r="G54" s="107">
        <f t="shared" si="64"/>
        <v>0.33953528934524169</v>
      </c>
      <c r="H54" s="107">
        <f t="shared" si="19"/>
        <v>0.3006189521768583</v>
      </c>
      <c r="I54" s="107">
        <f t="shared" si="65"/>
        <v>-3.8916337168383386E-2</v>
      </c>
      <c r="K54" s="121">
        <f t="shared" si="66"/>
        <v>832</v>
      </c>
      <c r="L54" s="122">
        <f t="shared" si="67"/>
        <v>7065.4508313516635</v>
      </c>
      <c r="M54" s="122">
        <f t="shared" si="60"/>
        <v>2912.0000000000773</v>
      </c>
      <c r="N54" s="122">
        <f t="shared" si="55"/>
        <v>7065.4508313516635</v>
      </c>
      <c r="O54" s="122">
        <f t="shared" si="56"/>
        <v>8736.0000000002328</v>
      </c>
      <c r="P54" s="122">
        <f t="shared" si="61"/>
        <v>1670.5491686485693</v>
      </c>
      <c r="Q54" s="123">
        <f t="shared" si="68"/>
        <v>-73.175916715388666</v>
      </c>
      <c r="R54" s="127">
        <f t="shared" si="57"/>
        <v>2.4263224008761934</v>
      </c>
      <c r="S54" s="128">
        <f t="shared" si="62"/>
        <v>42</v>
      </c>
      <c r="AD54" s="83"/>
      <c r="AH54"/>
    </row>
    <row r="55" spans="1:34">
      <c r="A55" s="128">
        <f t="shared" si="63"/>
        <v>43</v>
      </c>
      <c r="B55" s="106">
        <f t="shared" si="58"/>
        <v>8.3464608320005134</v>
      </c>
      <c r="C55" s="106">
        <f t="shared" si="58"/>
        <v>3.5982295341051911</v>
      </c>
      <c r="D55" s="106">
        <f t="shared" si="53"/>
        <v>8.3464608320005134</v>
      </c>
      <c r="E55" s="106">
        <f t="shared" si="54"/>
        <v>10.794688602315574</v>
      </c>
      <c r="F55" s="106">
        <f t="shared" si="59"/>
        <v>2.4482277703150608</v>
      </c>
      <c r="G55" s="107">
        <f t="shared" si="64"/>
        <v>0.34646083200036415</v>
      </c>
      <c r="H55" s="107">
        <f t="shared" si="19"/>
        <v>0.29468860231529526</v>
      </c>
      <c r="I55" s="107">
        <f t="shared" si="65"/>
        <v>-5.1772229685068893E-2</v>
      </c>
      <c r="K55" s="121">
        <f t="shared" si="66"/>
        <v>828</v>
      </c>
      <c r="L55" s="122">
        <f t="shared" si="67"/>
        <v>7352.3204002479652</v>
      </c>
      <c r="M55" s="122">
        <f t="shared" si="60"/>
        <v>2979.3340542390984</v>
      </c>
      <c r="N55" s="122">
        <f t="shared" si="55"/>
        <v>7352.3204002479652</v>
      </c>
      <c r="O55" s="122">
        <f t="shared" si="56"/>
        <v>8938.0021627172955</v>
      </c>
      <c r="P55" s="122">
        <f t="shared" si="61"/>
        <v>1585.6817624693304</v>
      </c>
      <c r="Q55" s="123">
        <f t="shared" si="68"/>
        <v>-84.867406179238969</v>
      </c>
      <c r="R55" s="127">
        <f t="shared" si="57"/>
        <v>2.4677730883473212</v>
      </c>
      <c r="S55" s="128">
        <f t="shared" si="62"/>
        <v>43</v>
      </c>
      <c r="AD55" s="83"/>
      <c r="AH55"/>
    </row>
    <row r="56" spans="1:34">
      <c r="A56" s="128">
        <f t="shared" si="63"/>
        <v>44</v>
      </c>
      <c r="B56" s="106">
        <f t="shared" si="58"/>
        <v>8.6998472066560062</v>
      </c>
      <c r="C56" s="106">
        <f t="shared" si="58"/>
        <v>3.6942387364150173</v>
      </c>
      <c r="D56" s="106">
        <f t="shared" si="53"/>
        <v>8.6998472066560062</v>
      </c>
      <c r="E56" s="106">
        <f t="shared" si="54"/>
        <v>11.082716209245053</v>
      </c>
      <c r="F56" s="106">
        <f t="shared" si="59"/>
        <v>2.3828690025890467</v>
      </c>
      <c r="G56" s="107">
        <f t="shared" si="64"/>
        <v>0.35338637465549283</v>
      </c>
      <c r="H56" s="107">
        <f t="shared" si="19"/>
        <v>0.28802760692947871</v>
      </c>
      <c r="I56" s="107">
        <f t="shared" si="65"/>
        <v>-6.5358767726014122E-2</v>
      </c>
      <c r="K56" s="121">
        <f t="shared" si="66"/>
        <v>824</v>
      </c>
      <c r="L56" s="122">
        <f t="shared" si="67"/>
        <v>7643.5107729640913</v>
      </c>
      <c r="M56" s="122">
        <f t="shared" si="60"/>
        <v>3044.0527188059741</v>
      </c>
      <c r="N56" s="122">
        <f t="shared" si="55"/>
        <v>7643.5107729640913</v>
      </c>
      <c r="O56" s="122">
        <f t="shared" si="56"/>
        <v>9132.1581564179214</v>
      </c>
      <c r="P56" s="122">
        <f t="shared" si="61"/>
        <v>1488.6473834538301</v>
      </c>
      <c r="Q56" s="123">
        <f t="shared" si="68"/>
        <v>-97.034379015500235</v>
      </c>
      <c r="R56" s="127">
        <f t="shared" si="57"/>
        <v>2.510965308104864</v>
      </c>
      <c r="S56" s="128">
        <f t="shared" si="62"/>
        <v>44</v>
      </c>
      <c r="AD56" s="83"/>
      <c r="AH56"/>
    </row>
    <row r="57" spans="1:34">
      <c r="A57" s="128">
        <f t="shared" si="63"/>
        <v>45</v>
      </c>
      <c r="B57" s="106">
        <f t="shared" si="58"/>
        <v>9.0601591239666224</v>
      </c>
      <c r="C57" s="106">
        <f t="shared" si="58"/>
        <v>3.7877791900339948</v>
      </c>
      <c r="D57" s="106">
        <f t="shared" si="53"/>
        <v>9.0601591239666224</v>
      </c>
      <c r="E57" s="106">
        <f t="shared" si="54"/>
        <v>11.363337570101985</v>
      </c>
      <c r="F57" s="106">
        <f t="shared" si="59"/>
        <v>2.3031784461353624</v>
      </c>
      <c r="G57" s="107">
        <f t="shared" si="64"/>
        <v>0.36031191731061618</v>
      </c>
      <c r="H57" s="107">
        <f t="shared" si="19"/>
        <v>0.2806213608569319</v>
      </c>
      <c r="I57" s="107">
        <f t="shared" si="65"/>
        <v>-7.969055645368428E-2</v>
      </c>
      <c r="K57" s="121">
        <f t="shared" si="66"/>
        <v>820</v>
      </c>
      <c r="L57" s="122">
        <f t="shared" si="67"/>
        <v>7938.9665451587962</v>
      </c>
      <c r="M57" s="122">
        <f t="shared" si="60"/>
        <v>3105.9789358278758</v>
      </c>
      <c r="N57" s="122">
        <f t="shared" si="55"/>
        <v>7938.9665451587962</v>
      </c>
      <c r="O57" s="122">
        <f t="shared" si="56"/>
        <v>9317.9368074836275</v>
      </c>
      <c r="P57" s="122">
        <f t="shared" si="61"/>
        <v>1378.9702623248313</v>
      </c>
      <c r="Q57" s="123">
        <f t="shared" si="68"/>
        <v>-109.67712112899881</v>
      </c>
      <c r="R57" s="127">
        <f>L57/M57</f>
        <v>2.5560271686268612</v>
      </c>
      <c r="S57" s="128">
        <f t="shared" si="62"/>
        <v>45</v>
      </c>
      <c r="AD57" s="83"/>
      <c r="AH57"/>
    </row>
    <row r="58" spans="1:34">
      <c r="A58" s="128">
        <f t="shared" si="63"/>
        <v>46</v>
      </c>
      <c r="B58" s="106">
        <f t="shared" si="58"/>
        <v>9.4273965839323637</v>
      </c>
      <c r="C58" s="106">
        <f t="shared" si="58"/>
        <v>3.8785976096790531</v>
      </c>
      <c r="D58" s="106">
        <f t="shared" si="53"/>
        <v>9.4273965839323637</v>
      </c>
      <c r="E58" s="106">
        <f t="shared" si="54"/>
        <v>11.635792829037159</v>
      </c>
      <c r="F58" s="106">
        <f t="shared" si="59"/>
        <v>2.2083962451047956</v>
      </c>
      <c r="G58" s="107">
        <f t="shared" si="64"/>
        <v>0.36723745996574131</v>
      </c>
      <c r="H58" s="107">
        <f t="shared" si="19"/>
        <v>0.27245525893517453</v>
      </c>
      <c r="I58" s="107">
        <f t="shared" si="65"/>
        <v>-9.4782201030566782E-2</v>
      </c>
      <c r="K58" s="121">
        <f t="shared" si="66"/>
        <v>816</v>
      </c>
      <c r="L58" s="122">
        <f t="shared" si="67"/>
        <v>8238.6323124908413</v>
      </c>
      <c r="M58" s="122">
        <f t="shared" si="60"/>
        <v>3164.9356494981075</v>
      </c>
      <c r="N58" s="122">
        <f t="shared" si="55"/>
        <v>8238.6323124908413</v>
      </c>
      <c r="O58" s="122">
        <f t="shared" si="56"/>
        <v>9494.8069484943226</v>
      </c>
      <c r="P58" s="122">
        <f t="shared" si="61"/>
        <v>1256.1746360034813</v>
      </c>
      <c r="Q58" s="123">
        <f t="shared" si="68"/>
        <v>-122.79562632135003</v>
      </c>
      <c r="R58" s="127">
        <f t="shared" ref="R58:R82" si="69">L58/M58</f>
        <v>2.6030963105987053</v>
      </c>
      <c r="S58" s="128">
        <f t="shared" si="62"/>
        <v>46</v>
      </c>
      <c r="AD58" s="83"/>
      <c r="AH58"/>
    </row>
    <row r="59" spans="1:34">
      <c r="A59" s="128">
        <f t="shared" si="63"/>
        <v>47</v>
      </c>
      <c r="B59" s="106">
        <f t="shared" si="58"/>
        <v>9.8015595865532319</v>
      </c>
      <c r="C59" s="106">
        <f t="shared" si="58"/>
        <v>3.9664358416796279</v>
      </c>
      <c r="D59" s="106">
        <f t="shared" si="53"/>
        <v>9.8015595865532319</v>
      </c>
      <c r="E59" s="106">
        <f t="shared" si="54"/>
        <v>11.899307525038884</v>
      </c>
      <c r="F59" s="106">
        <f t="shared" si="59"/>
        <v>2.0977479384856519</v>
      </c>
      <c r="G59" s="107">
        <f t="shared" si="64"/>
        <v>0.37416300262086821</v>
      </c>
      <c r="H59" s="107">
        <f t="shared" si="19"/>
        <v>0.2635146960017245</v>
      </c>
      <c r="I59" s="107">
        <f t="shared" si="65"/>
        <v>-0.11064830661914371</v>
      </c>
      <c r="K59" s="121">
        <f t="shared" si="66"/>
        <v>812</v>
      </c>
      <c r="L59" s="122">
        <f t="shared" si="67"/>
        <v>8542.4526706189863</v>
      </c>
      <c r="M59" s="122">
        <f t="shared" si="60"/>
        <v>3220.745903443858</v>
      </c>
      <c r="N59" s="122">
        <f t="shared" si="55"/>
        <v>8542.4526706189863</v>
      </c>
      <c r="O59" s="122">
        <f t="shared" si="56"/>
        <v>9662.2377103315739</v>
      </c>
      <c r="P59" s="122">
        <f t="shared" si="61"/>
        <v>1119.7850397125876</v>
      </c>
      <c r="Q59" s="123">
        <f t="shared" si="68"/>
        <v>-136.38959629089368</v>
      </c>
      <c r="R59" s="127">
        <f t="shared" si="69"/>
        <v>2.6523212096566726</v>
      </c>
      <c r="S59" s="128">
        <f t="shared" si="62"/>
        <v>47</v>
      </c>
      <c r="AD59" s="83"/>
      <c r="AH59"/>
    </row>
    <row r="60" spans="1:34">
      <c r="A60" s="128">
        <f t="shared" si="63"/>
        <v>48</v>
      </c>
      <c r="B60" s="106">
        <f t="shared" si="58"/>
        <v>10.182648131829225</v>
      </c>
      <c r="C60" s="106">
        <f t="shared" si="58"/>
        <v>4.0510308639776627</v>
      </c>
      <c r="D60" s="106">
        <f t="shared" si="53"/>
        <v>10.182648131829225</v>
      </c>
      <c r="E60" s="106">
        <f t="shared" si="54"/>
        <v>12.153092591932989</v>
      </c>
      <c r="F60" s="106">
        <f t="shared" si="59"/>
        <v>1.9704444601037636</v>
      </c>
      <c r="G60" s="107">
        <f t="shared" si="64"/>
        <v>0.38108854527599334</v>
      </c>
      <c r="H60" s="107">
        <f t="shared" si="19"/>
        <v>0.25378506689410507</v>
      </c>
      <c r="I60" s="107">
        <f t="shared" si="65"/>
        <v>-0.12730347838188827</v>
      </c>
      <c r="K60" s="121">
        <f t="shared" si="66"/>
        <v>808</v>
      </c>
      <c r="L60" s="122">
        <f t="shared" si="67"/>
        <v>8850.3722152019891</v>
      </c>
      <c r="M60" s="122">
        <f t="shared" si="60"/>
        <v>3273.2329380939514</v>
      </c>
      <c r="N60" s="122">
        <f t="shared" si="55"/>
        <v>8850.3722152019891</v>
      </c>
      <c r="O60" s="122">
        <f t="shared" si="56"/>
        <v>9819.6988142818536</v>
      </c>
      <c r="P60" s="122">
        <f t="shared" si="61"/>
        <v>969.32659907986454</v>
      </c>
      <c r="Q60" s="123">
        <f t="shared" si="68"/>
        <v>-150.45844063272307</v>
      </c>
      <c r="R60" s="127">
        <f t="shared" si="69"/>
        <v>2.7038626283516756</v>
      </c>
      <c r="S60" s="128">
        <f t="shared" si="62"/>
        <v>48</v>
      </c>
      <c r="AD60" s="83"/>
      <c r="AH60"/>
    </row>
    <row r="61" spans="1:34">
      <c r="A61" s="128">
        <f t="shared" si="63"/>
        <v>49</v>
      </c>
      <c r="B61" s="106">
        <f t="shared" si="58"/>
        <v>10.570662219760344</v>
      </c>
      <c r="C61" s="106">
        <f t="shared" si="58"/>
        <v>4.132114786127608</v>
      </c>
      <c r="D61" s="106">
        <f t="shared" si="53"/>
        <v>10.570662219760344</v>
      </c>
      <c r="E61" s="106">
        <f t="shared" si="54"/>
        <v>12.396344358382823</v>
      </c>
      <c r="F61" s="106">
        <f t="shared" si="59"/>
        <v>1.8256821386224793</v>
      </c>
      <c r="G61" s="107">
        <f t="shared" si="64"/>
        <v>0.38801408793111847</v>
      </c>
      <c r="H61" s="107">
        <f t="shared" si="19"/>
        <v>0.24325176644983415</v>
      </c>
      <c r="I61" s="107">
        <f t="shared" si="65"/>
        <v>-0.14476232148128432</v>
      </c>
      <c r="K61" s="121">
        <f t="shared" si="66"/>
        <v>804</v>
      </c>
      <c r="L61" s="122">
        <f t="shared" si="67"/>
        <v>9162.3355418986084</v>
      </c>
      <c r="M61" s="122">
        <f t="shared" si="60"/>
        <v>3322.2202880465966</v>
      </c>
      <c r="N61" s="122">
        <f t="shared" si="55"/>
        <v>9162.3355418986084</v>
      </c>
      <c r="O61" s="122">
        <f t="shared" si="56"/>
        <v>9966.6608641397906</v>
      </c>
      <c r="P61" s="122">
        <f t="shared" si="61"/>
        <v>804.32532224118222</v>
      </c>
      <c r="Q61" s="123">
        <f t="shared" si="68"/>
        <v>-165.00127683868232</v>
      </c>
      <c r="R61" s="127">
        <f t="shared" si="69"/>
        <v>2.7578952470023865</v>
      </c>
      <c r="S61" s="128">
        <f t="shared" si="62"/>
        <v>49</v>
      </c>
      <c r="AD61" s="83"/>
      <c r="AH61"/>
    </row>
    <row r="62" spans="1:34">
      <c r="A62" s="128">
        <f t="shared" si="63"/>
        <v>50</v>
      </c>
      <c r="B62" s="106">
        <f t="shared" si="58"/>
        <v>10.965601850346587</v>
      </c>
      <c r="C62" s="106">
        <f t="shared" si="58"/>
        <v>4.2094148492964205</v>
      </c>
      <c r="D62" s="106">
        <f t="shared" si="53"/>
        <v>10.965601850346587</v>
      </c>
      <c r="E62" s="106">
        <f t="shared" si="54"/>
        <v>12.628244547889262</v>
      </c>
      <c r="F62" s="106">
        <f t="shared" si="59"/>
        <v>1.6626426975426742</v>
      </c>
      <c r="G62" s="107">
        <f t="shared" si="64"/>
        <v>0.3949396305862436</v>
      </c>
      <c r="H62" s="107">
        <f t="shared" si="19"/>
        <v>0.23190018950643854</v>
      </c>
      <c r="I62" s="107">
        <f t="shared" si="65"/>
        <v>-0.16303944107980506</v>
      </c>
      <c r="K62" s="121">
        <f t="shared" si="66"/>
        <v>800</v>
      </c>
      <c r="L62" s="122">
        <f t="shared" si="67"/>
        <v>9478.2872463676031</v>
      </c>
      <c r="M62" s="122">
        <f t="shared" si="60"/>
        <v>3367.5318794371365</v>
      </c>
      <c r="N62" s="122">
        <f t="shared" si="55"/>
        <v>9478.2872463676031</v>
      </c>
      <c r="O62" s="122">
        <f t="shared" si="56"/>
        <v>10102.59563831141</v>
      </c>
      <c r="P62" s="122">
        <f t="shared" si="61"/>
        <v>624.30839194380678</v>
      </c>
      <c r="Q62" s="123">
        <f t="shared" si="68"/>
        <v>-180.01693029737544</v>
      </c>
      <c r="R62" s="127">
        <f t="shared" si="69"/>
        <v>2.8146095080031861</v>
      </c>
      <c r="S62" s="128">
        <f t="shared" si="62"/>
        <v>50</v>
      </c>
      <c r="AD62" s="83"/>
      <c r="AH62"/>
    </row>
    <row r="63" spans="1:34">
      <c r="A63" s="128">
        <f t="shared" si="63"/>
        <v>51</v>
      </c>
      <c r="B63" s="106">
        <f t="shared" si="58"/>
        <v>11.367467023587958</v>
      </c>
      <c r="C63" s="106">
        <f t="shared" si="58"/>
        <v>4.2826534262635656</v>
      </c>
      <c r="D63" s="106">
        <f t="shared" si="53"/>
        <v>11.367467023587958</v>
      </c>
      <c r="E63" s="106">
        <f t="shared" si="54"/>
        <v>12.847960278790698</v>
      </c>
      <c r="F63" s="106">
        <f t="shared" si="59"/>
        <v>1.4804932552027399</v>
      </c>
      <c r="G63" s="107">
        <f t="shared" si="64"/>
        <v>0.4018651732413705</v>
      </c>
      <c r="H63" s="107">
        <f t="shared" si="19"/>
        <v>0.21971573090143615</v>
      </c>
      <c r="I63" s="107">
        <f t="shared" si="65"/>
        <v>-0.18214944233993435</v>
      </c>
      <c r="K63" s="121">
        <f t="shared" si="66"/>
        <v>796</v>
      </c>
      <c r="L63" s="122">
        <f t="shared" si="67"/>
        <v>9798.1719242677336</v>
      </c>
      <c r="M63" s="122">
        <f t="shared" si="60"/>
        <v>3408.992127305798</v>
      </c>
      <c r="N63" s="122">
        <f t="shared" si="55"/>
        <v>9798.1719242677336</v>
      </c>
      <c r="O63" s="122">
        <f t="shared" si="56"/>
        <v>10226.976381917393</v>
      </c>
      <c r="P63" s="122">
        <f t="shared" si="61"/>
        <v>428.80445764965953</v>
      </c>
      <c r="Q63" s="123">
        <f t="shared" si="68"/>
        <v>-195.50393429414726</v>
      </c>
      <c r="R63" s="127">
        <f t="shared" si="69"/>
        <v>2.8742137143072388</v>
      </c>
      <c r="S63" s="128">
        <f t="shared" si="62"/>
        <v>51</v>
      </c>
      <c r="AD63" s="83"/>
      <c r="AH63"/>
    </row>
    <row r="64" spans="1:34">
      <c r="A64" s="128">
        <f t="shared" si="63"/>
        <v>52</v>
      </c>
      <c r="B64" s="106">
        <f t="shared" si="58"/>
        <v>11.776257739484453</v>
      </c>
      <c r="C64" s="106">
        <f t="shared" si="58"/>
        <v>4.3515480214210145</v>
      </c>
      <c r="D64" s="106">
        <f t="shared" ref="D64:D82" si="70">B64*E$1</f>
        <v>11.776257739484453</v>
      </c>
      <c r="E64" s="106">
        <f t="shared" ref="E64:E82" si="71">C64*E$2</f>
        <v>13.054644064263044</v>
      </c>
      <c r="F64" s="106">
        <f t="shared" si="59"/>
        <v>1.2783863247785909</v>
      </c>
      <c r="G64" s="107">
        <f t="shared" si="64"/>
        <v>0.40879071589649563</v>
      </c>
      <c r="H64" s="107">
        <f t="shared" si="19"/>
        <v>0.20668378547234667</v>
      </c>
      <c r="I64" s="107">
        <f t="shared" si="65"/>
        <v>-0.20210693042414896</v>
      </c>
      <c r="K64" s="121">
        <f t="shared" si="66"/>
        <v>792</v>
      </c>
      <c r="L64" s="122">
        <f t="shared" si="67"/>
        <v>10121.934171257759</v>
      </c>
      <c r="M64" s="122">
        <f t="shared" si="60"/>
        <v>3446.4260329654435</v>
      </c>
      <c r="N64" s="122">
        <f t="shared" ref="N64:N82" si="72">L64*E$1</f>
        <v>10121.934171257759</v>
      </c>
      <c r="O64" s="122">
        <f t="shared" ref="O64:O82" si="73">M64*E$2</f>
        <v>10339.278098896331</v>
      </c>
      <c r="P64" s="122">
        <f t="shared" si="61"/>
        <v>217.3439276385725</v>
      </c>
      <c r="Q64" s="123">
        <f t="shared" si="68"/>
        <v>-211.46053001108703</v>
      </c>
      <c r="R64" s="127">
        <f t="shared" si="69"/>
        <v>2.9369364305052095</v>
      </c>
      <c r="S64" s="128">
        <f t="shared" si="62"/>
        <v>52</v>
      </c>
      <c r="AD64" s="83"/>
      <c r="AH64"/>
    </row>
    <row r="65" spans="1:34">
      <c r="A65" s="128">
        <f t="shared" si="63"/>
        <v>53</v>
      </c>
      <c r="B65" s="106">
        <f t="shared" si="58"/>
        <v>12.191973998036072</v>
      </c>
      <c r="C65" s="106">
        <f t="shared" si="58"/>
        <v>4.4158112707732435</v>
      </c>
      <c r="D65" s="106">
        <f t="shared" si="70"/>
        <v>12.191973998036072</v>
      </c>
      <c r="E65" s="106">
        <f t="shared" si="71"/>
        <v>13.247433812319731</v>
      </c>
      <c r="F65" s="106">
        <f t="shared" si="59"/>
        <v>1.0554598142836582</v>
      </c>
      <c r="G65" s="107">
        <f t="shared" si="64"/>
        <v>0.41571625855161898</v>
      </c>
      <c r="H65" s="107">
        <f t="shared" si="19"/>
        <v>0.19278974805668625</v>
      </c>
      <c r="I65" s="107">
        <f t="shared" si="65"/>
        <v>-0.22292651049493273</v>
      </c>
      <c r="K65" s="121">
        <f t="shared" ref="K65:K82" si="74">K64-M$2</f>
        <v>788</v>
      </c>
      <c r="L65" s="122">
        <f t="shared" si="67"/>
        <v>10449.518582996434</v>
      </c>
      <c r="M65" s="122">
        <f t="shared" si="60"/>
        <v>3479.659281369316</v>
      </c>
      <c r="N65" s="122">
        <f t="shared" si="72"/>
        <v>10449.518582996434</v>
      </c>
      <c r="O65" s="122">
        <f t="shared" si="73"/>
        <v>10438.977844107947</v>
      </c>
      <c r="P65" s="122">
        <f t="shared" si="61"/>
        <v>-10.540738888486885</v>
      </c>
      <c r="Q65" s="123">
        <f t="shared" si="68"/>
        <v>-227.88466652705938</v>
      </c>
      <c r="R65" s="127">
        <f t="shared" si="69"/>
        <v>3.0030292445426836</v>
      </c>
      <c r="S65" s="128">
        <f t="shared" si="62"/>
        <v>53</v>
      </c>
      <c r="AD65" s="83"/>
      <c r="AH65"/>
    </row>
    <row r="66" spans="1:34">
      <c r="A66" s="128">
        <f t="shared" si="63"/>
        <v>54</v>
      </c>
      <c r="B66" s="106">
        <f t="shared" si="58"/>
        <v>12.614615799242818</v>
      </c>
      <c r="C66" s="106">
        <f t="shared" si="58"/>
        <v>4.4751509419372404</v>
      </c>
      <c r="D66" s="106">
        <f t="shared" si="70"/>
        <v>12.614615799242818</v>
      </c>
      <c r="E66" s="106">
        <f t="shared" si="71"/>
        <v>13.425452825811721</v>
      </c>
      <c r="F66" s="106">
        <f t="shared" si="59"/>
        <v>0.81083702656890289</v>
      </c>
      <c r="G66" s="107">
        <f t="shared" si="64"/>
        <v>0.42264180120674588</v>
      </c>
      <c r="H66" s="107">
        <f t="shared" si="19"/>
        <v>0.17801901349199056</v>
      </c>
      <c r="I66" s="107">
        <f t="shared" si="65"/>
        <v>-0.24462278771475532</v>
      </c>
      <c r="K66" s="121">
        <f t="shared" si="74"/>
        <v>784</v>
      </c>
      <c r="L66" s="122">
        <f t="shared" si="67"/>
        <v>10780.869755142523</v>
      </c>
      <c r="M66" s="122">
        <f t="shared" si="60"/>
        <v>3508.5183384787965</v>
      </c>
      <c r="N66" s="122">
        <f t="shared" si="72"/>
        <v>10780.869755142523</v>
      </c>
      <c r="O66" s="122">
        <f t="shared" si="73"/>
        <v>10525.55501543639</v>
      </c>
      <c r="P66" s="122">
        <f t="shared" si="61"/>
        <v>-255.31473970613297</v>
      </c>
      <c r="Q66" s="123">
        <f t="shared" si="68"/>
        <v>-244.77400081764608</v>
      </c>
      <c r="R66" s="127">
        <f t="shared" si="69"/>
        <v>3.0727699601584044</v>
      </c>
      <c r="S66" s="128">
        <f t="shared" si="62"/>
        <v>54</v>
      </c>
      <c r="AD66" s="83"/>
      <c r="AH66"/>
    </row>
    <row r="67" spans="1:34">
      <c r="A67" s="128">
        <f t="shared" si="63"/>
        <v>55</v>
      </c>
      <c r="B67" s="106">
        <f t="shared" si="58"/>
        <v>13.044183143104691</v>
      </c>
      <c r="C67" s="106">
        <f t="shared" si="58"/>
        <v>4.5292699341424969</v>
      </c>
      <c r="D67" s="106">
        <f t="shared" si="70"/>
        <v>13.044183143104691</v>
      </c>
      <c r="E67" s="106">
        <f t="shared" si="71"/>
        <v>13.58780980242749</v>
      </c>
      <c r="F67" s="106">
        <f t="shared" si="59"/>
        <v>0.54362665932279874</v>
      </c>
      <c r="G67" s="107">
        <f t="shared" si="64"/>
        <v>0.42956734386187279</v>
      </c>
      <c r="H67" s="107">
        <f t="shared" si="19"/>
        <v>0.16235697661576864</v>
      </c>
      <c r="I67" s="107">
        <f t="shared" si="65"/>
        <v>-0.26721036724610414</v>
      </c>
      <c r="K67" s="121">
        <f t="shared" si="74"/>
        <v>780</v>
      </c>
      <c r="L67" s="122">
        <f t="shared" si="67"/>
        <v>11115.932283354783</v>
      </c>
      <c r="M67" s="122">
        <f t="shared" si="60"/>
        <v>3532.8305486311474</v>
      </c>
      <c r="N67" s="122">
        <f t="shared" si="72"/>
        <v>11115.932283354783</v>
      </c>
      <c r="O67" s="122">
        <f t="shared" si="73"/>
        <v>10598.491645893442</v>
      </c>
      <c r="P67" s="122">
        <f t="shared" si="61"/>
        <v>-517.44063746134088</v>
      </c>
      <c r="Q67" s="123">
        <f t="shared" si="68"/>
        <v>-262.12589775520792</v>
      </c>
      <c r="R67" s="127">
        <f t="shared" si="69"/>
        <v>3.1464663052299047</v>
      </c>
      <c r="S67" s="128">
        <f t="shared" si="62"/>
        <v>55</v>
      </c>
      <c r="AD67" s="83"/>
      <c r="AH67"/>
    </row>
    <row r="68" spans="1:34">
      <c r="A68" s="128">
        <f t="shared" si="63"/>
        <v>56</v>
      </c>
      <c r="B68" s="106">
        <f t="shared" si="58"/>
        <v>13.480676029621687</v>
      </c>
      <c r="C68" s="106">
        <f t="shared" si="58"/>
        <v>4.5778662782310118</v>
      </c>
      <c r="D68" s="106">
        <f t="shared" si="70"/>
        <v>13.480676029621687</v>
      </c>
      <c r="E68" s="106">
        <f t="shared" si="71"/>
        <v>13.733598834693035</v>
      </c>
      <c r="F68" s="106">
        <f t="shared" si="59"/>
        <v>0.25292280507134812</v>
      </c>
      <c r="G68" s="107">
        <f t="shared" si="64"/>
        <v>0.43649288651699614</v>
      </c>
      <c r="H68" s="107">
        <f t="shared" si="19"/>
        <v>0.14578903226554552</v>
      </c>
      <c r="I68" s="107">
        <f t="shared" si="65"/>
        <v>-0.29070385425145062</v>
      </c>
      <c r="K68" s="121">
        <f t="shared" si="74"/>
        <v>776</v>
      </c>
      <c r="L68" s="122">
        <f t="shared" si="67"/>
        <v>11454.650763291973</v>
      </c>
      <c r="M68" s="122">
        <f t="shared" si="60"/>
        <v>3552.424231907265</v>
      </c>
      <c r="N68" s="122">
        <f t="shared" si="72"/>
        <v>11454.650763291973</v>
      </c>
      <c r="O68" s="122">
        <f t="shared" si="73"/>
        <v>10657.272695721795</v>
      </c>
      <c r="P68" s="122">
        <f t="shared" si="61"/>
        <v>-797.37806757017825</v>
      </c>
      <c r="Q68" s="123">
        <f t="shared" si="68"/>
        <v>-279.93743010883736</v>
      </c>
      <c r="R68" s="127">
        <f t="shared" si="69"/>
        <v>3.2244602602381396</v>
      </c>
      <c r="S68" s="128">
        <f t="shared" si="62"/>
        <v>56</v>
      </c>
      <c r="AD68" s="83"/>
      <c r="AH68"/>
    </row>
    <row r="69" spans="1:34">
      <c r="A69" s="128">
        <f t="shared" si="63"/>
        <v>57</v>
      </c>
      <c r="B69" s="106">
        <f t="shared" si="58"/>
        <v>13.92409445879381</v>
      </c>
      <c r="C69" s="106">
        <f t="shared" si="58"/>
        <v>4.6206331366572897</v>
      </c>
      <c r="D69" s="106">
        <f t="shared" si="70"/>
        <v>13.92409445879381</v>
      </c>
      <c r="E69" s="106">
        <f t="shared" si="71"/>
        <v>13.861899409971869</v>
      </c>
      <c r="F69" s="106">
        <f t="shared" si="59"/>
        <v>-6.2195048821941157E-2</v>
      </c>
      <c r="G69" s="107">
        <f t="shared" si="64"/>
        <v>0.44341842917212304</v>
      </c>
      <c r="H69" s="107">
        <f t="shared" si="19"/>
        <v>0.12830057527883376</v>
      </c>
      <c r="I69" s="107">
        <f t="shared" si="65"/>
        <v>-0.31511785389328928</v>
      </c>
      <c r="K69" s="121">
        <f t="shared" si="74"/>
        <v>772</v>
      </c>
      <c r="L69" s="122">
        <f t="shared" si="67"/>
        <v>11796.969790612851</v>
      </c>
      <c r="M69" s="122">
        <f t="shared" si="60"/>
        <v>3567.1287814994275</v>
      </c>
      <c r="N69" s="122">
        <f t="shared" si="72"/>
        <v>11796.969790612851</v>
      </c>
      <c r="O69" s="122">
        <f t="shared" si="73"/>
        <v>10701.386344498282</v>
      </c>
      <c r="P69" s="122">
        <f t="shared" si="61"/>
        <v>-1095.5834461145696</v>
      </c>
      <c r="Q69" s="123">
        <f t="shared" si="68"/>
        <v>-298.20537854439135</v>
      </c>
      <c r="R69" s="127">
        <f t="shared" si="69"/>
        <v>3.3071331351412674</v>
      </c>
      <c r="S69" s="128">
        <f t="shared" si="62"/>
        <v>57</v>
      </c>
      <c r="AD69" s="83"/>
      <c r="AH69"/>
    </row>
    <row r="70" spans="1:34">
      <c r="A70" s="128">
        <f t="shared" si="63"/>
        <v>58</v>
      </c>
      <c r="B70" s="106">
        <f t="shared" si="58"/>
        <v>14.374438430621057</v>
      </c>
      <c r="C70" s="106">
        <f t="shared" si="58"/>
        <v>4.6572588034883466</v>
      </c>
      <c r="D70" s="106">
        <f t="shared" si="70"/>
        <v>14.374438430621057</v>
      </c>
      <c r="E70" s="106">
        <f t="shared" si="71"/>
        <v>13.97177641046504</v>
      </c>
      <c r="F70" s="106">
        <f t="shared" si="59"/>
        <v>-0.40266202015601671</v>
      </c>
      <c r="G70" s="107">
        <f t="shared" si="64"/>
        <v>0.45034397182724639</v>
      </c>
      <c r="H70" s="107">
        <f t="shared" si="19"/>
        <v>0.10987700049317084</v>
      </c>
      <c r="I70" s="107">
        <f t="shared" si="65"/>
        <v>-0.34046697133407555</v>
      </c>
      <c r="K70" s="121">
        <f t="shared" si="74"/>
        <v>768</v>
      </c>
      <c r="L70" s="122">
        <f t="shared" si="67"/>
        <v>12142.833960976177</v>
      </c>
      <c r="M70" s="122">
        <f t="shared" si="60"/>
        <v>3576.7747610790502</v>
      </c>
      <c r="N70" s="122">
        <f t="shared" si="72"/>
        <v>12142.833960976177</v>
      </c>
      <c r="O70" s="122">
        <f t="shared" si="73"/>
        <v>10730.324283237151</v>
      </c>
      <c r="P70" s="122">
        <f t="shared" si="61"/>
        <v>-1412.5096777390263</v>
      </c>
      <c r="Q70" s="123">
        <f t="shared" si="68"/>
        <v>-316.9262316244567</v>
      </c>
      <c r="R70" s="127">
        <f t="shared" si="69"/>
        <v>3.3949115535899432</v>
      </c>
      <c r="S70" s="128">
        <f t="shared" si="62"/>
        <v>58</v>
      </c>
      <c r="AD70" s="83"/>
      <c r="AH70"/>
    </row>
    <row r="71" spans="1:34">
      <c r="A71" s="128">
        <f t="shared" si="63"/>
        <v>59</v>
      </c>
      <c r="B71" s="106">
        <f t="shared" si="58"/>
        <v>14.83170794510343</v>
      </c>
      <c r="C71" s="106">
        <f t="shared" si="58"/>
        <v>4.6874267044037001</v>
      </c>
      <c r="D71" s="106">
        <f t="shared" si="70"/>
        <v>14.83170794510343</v>
      </c>
      <c r="E71" s="106">
        <f t="shared" si="71"/>
        <v>14.0622801132111</v>
      </c>
      <c r="F71" s="106">
        <f t="shared" si="59"/>
        <v>-0.76942783189232955</v>
      </c>
      <c r="G71" s="107">
        <f t="shared" si="64"/>
        <v>0.4572695144823733</v>
      </c>
      <c r="H71" s="107">
        <f t="shared" si="19"/>
        <v>9.0503702746060455E-2</v>
      </c>
      <c r="I71" s="107">
        <f t="shared" si="65"/>
        <v>-0.36676581173631284</v>
      </c>
      <c r="K71" s="121">
        <f t="shared" si="74"/>
        <v>764</v>
      </c>
      <c r="L71" s="122">
        <f t="shared" si="67"/>
        <v>12492.187870040711</v>
      </c>
      <c r="M71" s="122">
        <f t="shared" si="60"/>
        <v>3581.1940021644268</v>
      </c>
      <c r="N71" s="122">
        <f t="shared" si="72"/>
        <v>12492.187870040711</v>
      </c>
      <c r="O71" s="122">
        <f t="shared" si="73"/>
        <v>10743.582006493281</v>
      </c>
      <c r="P71" s="122">
        <f t="shared" si="61"/>
        <v>-1748.6058635474292</v>
      </c>
      <c r="Q71" s="123">
        <f t="shared" si="68"/>
        <v>-336.09618580840288</v>
      </c>
      <c r="R71" s="127">
        <f t="shared" si="69"/>
        <v>3.4882745426499082</v>
      </c>
      <c r="S71" s="128">
        <f t="shared" si="62"/>
        <v>59</v>
      </c>
      <c r="AD71" s="83"/>
      <c r="AH71"/>
    </row>
    <row r="72" spans="1:34">
      <c r="A72" s="128">
        <f t="shared" si="63"/>
        <v>60</v>
      </c>
      <c r="B72" s="106">
        <f t="shared" si="58"/>
        <v>15.29590300224093</v>
      </c>
      <c r="C72" s="106">
        <f t="shared" si="58"/>
        <v>4.7108153966953799</v>
      </c>
      <c r="D72" s="106">
        <f t="shared" si="70"/>
        <v>15.29590300224093</v>
      </c>
      <c r="E72" s="106">
        <f t="shared" si="71"/>
        <v>14.132446190086139</v>
      </c>
      <c r="F72" s="106">
        <f t="shared" si="59"/>
        <v>-1.1634568121547915</v>
      </c>
      <c r="G72" s="107">
        <f t="shared" si="64"/>
        <v>0.4641950571375002</v>
      </c>
      <c r="H72" s="107">
        <f t="shared" si="19"/>
        <v>7.0166076875038286E-2</v>
      </c>
      <c r="I72" s="107">
        <f t="shared" si="65"/>
        <v>-0.39402898026246191</v>
      </c>
      <c r="K72" s="121">
        <f t="shared" si="74"/>
        <v>760</v>
      </c>
      <c r="L72" s="122">
        <f t="shared" si="67"/>
        <v>12844.976113465211</v>
      </c>
      <c r="M72" s="122">
        <f t="shared" si="60"/>
        <v>3580.2197014884887</v>
      </c>
      <c r="N72" s="122">
        <f t="shared" si="72"/>
        <v>12844.976113465211</v>
      </c>
      <c r="O72" s="122">
        <f t="shared" si="73"/>
        <v>10740.659104465467</v>
      </c>
      <c r="P72" s="122">
        <f t="shared" si="61"/>
        <v>-2104.3170089997438</v>
      </c>
      <c r="Q72" s="123">
        <f t="shared" si="68"/>
        <v>-355.71114545231467</v>
      </c>
      <c r="R72" s="127">
        <f t="shared" si="69"/>
        <v>3.5877619767649644</v>
      </c>
      <c r="S72" s="128">
        <f t="shared" si="62"/>
        <v>60</v>
      </c>
      <c r="AD72" s="83"/>
      <c r="AH72"/>
    </row>
    <row r="73" spans="1:34">
      <c r="A73" s="128">
        <f t="shared" si="63"/>
        <v>61</v>
      </c>
      <c r="B73" s="106">
        <f t="shared" si="58"/>
        <v>15.767023602033554</v>
      </c>
      <c r="C73" s="106">
        <f t="shared" si="58"/>
        <v>4.727098569267917</v>
      </c>
      <c r="D73" s="106">
        <f t="shared" si="70"/>
        <v>15.767023602033554</v>
      </c>
      <c r="E73" s="106">
        <f t="shared" si="71"/>
        <v>14.181295707803752</v>
      </c>
      <c r="F73" s="106">
        <f t="shared" si="59"/>
        <v>-1.5857278942298016</v>
      </c>
      <c r="G73" s="107">
        <f t="shared" si="64"/>
        <v>0.47112059979262355</v>
      </c>
      <c r="H73" s="107">
        <f t="shared" si="19"/>
        <v>4.8849517717613367E-2</v>
      </c>
      <c r="I73" s="107">
        <f t="shared" si="65"/>
        <v>-0.42227108207501018</v>
      </c>
      <c r="K73" s="121">
        <f t="shared" si="74"/>
        <v>756</v>
      </c>
      <c r="L73" s="122">
        <f t="shared" si="67"/>
        <v>13201.143286908435</v>
      </c>
      <c r="M73" s="122">
        <f t="shared" si="60"/>
        <v>3573.6865183665454</v>
      </c>
      <c r="N73" s="122">
        <f t="shared" si="72"/>
        <v>13201.143286908435</v>
      </c>
      <c r="O73" s="122">
        <f t="shared" si="73"/>
        <v>10721.059555099637</v>
      </c>
      <c r="P73" s="122">
        <f t="shared" si="61"/>
        <v>-2480.0837318087979</v>
      </c>
      <c r="Q73" s="123">
        <f t="shared" si="68"/>
        <v>-375.76672280905404</v>
      </c>
      <c r="R73" s="127">
        <f t="shared" si="69"/>
        <v>3.6939846903366305</v>
      </c>
      <c r="S73" s="128">
        <f t="shared" si="62"/>
        <v>61</v>
      </c>
      <c r="AD73" s="83"/>
      <c r="AH73"/>
    </row>
    <row r="74" spans="1:34">
      <c r="A74" s="128">
        <f t="shared" si="63"/>
        <v>62</v>
      </c>
      <c r="B74" s="106">
        <f t="shared" si="58"/>
        <v>16.245069744481302</v>
      </c>
      <c r="C74" s="106">
        <f t="shared" si="58"/>
        <v>4.7359450426383543</v>
      </c>
      <c r="D74" s="106">
        <f t="shared" si="70"/>
        <v>16.245069744481302</v>
      </c>
      <c r="E74" s="106">
        <f t="shared" si="71"/>
        <v>14.207835127915063</v>
      </c>
      <c r="F74" s="106">
        <f t="shared" si="59"/>
        <v>-2.0372346165662396</v>
      </c>
      <c r="G74" s="107">
        <f t="shared" si="64"/>
        <v>0.47804614244774868</v>
      </c>
      <c r="H74" s="107">
        <f t="shared" si="19"/>
        <v>2.6539420111310719E-2</v>
      </c>
      <c r="I74" s="107">
        <f t="shared" si="65"/>
        <v>-0.45150672233643796</v>
      </c>
      <c r="K74" s="121">
        <f t="shared" si="74"/>
        <v>752</v>
      </c>
      <c r="L74" s="122">
        <f t="shared" si="67"/>
        <v>13560.633986029141</v>
      </c>
      <c r="M74" s="122">
        <f t="shared" si="60"/>
        <v>3561.4306720640425</v>
      </c>
      <c r="N74" s="122">
        <f t="shared" si="72"/>
        <v>13560.633986029141</v>
      </c>
      <c r="O74" s="122">
        <f t="shared" si="73"/>
        <v>10684.292016192128</v>
      </c>
      <c r="P74" s="122">
        <f t="shared" si="61"/>
        <v>-2876.3419698370126</v>
      </c>
      <c r="Q74" s="123">
        <f t="shared" si="68"/>
        <v>-396.25823802821469</v>
      </c>
      <c r="R74" s="127">
        <f t="shared" si="69"/>
        <v>3.8076366591659685</v>
      </c>
      <c r="S74" s="128">
        <f t="shared" si="62"/>
        <v>62</v>
      </c>
      <c r="AD74" s="83"/>
      <c r="AH74"/>
    </row>
    <row r="75" spans="1:34">
      <c r="A75" s="128">
        <f t="shared" si="63"/>
        <v>63</v>
      </c>
      <c r="B75" s="106">
        <f t="shared" si="58"/>
        <v>16.730041429584176</v>
      </c>
      <c r="C75" s="106">
        <f t="shared" si="58"/>
        <v>4.7370187689362409</v>
      </c>
      <c r="D75" s="106">
        <f t="shared" si="70"/>
        <v>16.730041429584176</v>
      </c>
      <c r="E75" s="106">
        <f t="shared" si="71"/>
        <v>14.211056306808722</v>
      </c>
      <c r="F75" s="106">
        <f t="shared" si="59"/>
        <v>-2.5189851227754545</v>
      </c>
      <c r="G75" s="107">
        <f t="shared" si="64"/>
        <v>0.48497168510287381</v>
      </c>
      <c r="H75" s="107">
        <f t="shared" si="19"/>
        <v>3.2211788936589159E-3</v>
      </c>
      <c r="I75" s="107">
        <f t="shared" si="65"/>
        <v>-0.48175050620921489</v>
      </c>
      <c r="K75" s="121">
        <f t="shared" si="74"/>
        <v>748</v>
      </c>
      <c r="L75" s="122">
        <f t="shared" si="67"/>
        <v>13923.39280648609</v>
      </c>
      <c r="M75" s="122">
        <f t="shared" si="60"/>
        <v>3543.2900391643084</v>
      </c>
      <c r="N75" s="122">
        <f t="shared" si="72"/>
        <v>13923.39280648609</v>
      </c>
      <c r="O75" s="122">
        <f t="shared" si="73"/>
        <v>10629.870117492925</v>
      </c>
      <c r="P75" s="122">
        <f t="shared" si="61"/>
        <v>-3293.5226889931655</v>
      </c>
      <c r="Q75" s="123">
        <f t="shared" si="68"/>
        <v>-417.18071915615292</v>
      </c>
      <c r="R75" s="127">
        <f t="shared" si="69"/>
        <v>3.9295097642556942</v>
      </c>
      <c r="S75" s="128">
        <f t="shared" si="62"/>
        <v>63</v>
      </c>
      <c r="AD75" s="83"/>
      <c r="AH75"/>
    </row>
    <row r="76" spans="1:34">
      <c r="A76" s="128">
        <f t="shared" si="63"/>
        <v>64</v>
      </c>
      <c r="B76" s="106">
        <f t="shared" si="58"/>
        <v>17.221938657342179</v>
      </c>
      <c r="C76" s="106">
        <f t="shared" si="58"/>
        <v>4.7299788319036296</v>
      </c>
      <c r="D76" s="106">
        <f t="shared" si="70"/>
        <v>17.221938657342179</v>
      </c>
      <c r="E76" s="106">
        <f t="shared" si="71"/>
        <v>14.189936495710889</v>
      </c>
      <c r="F76" s="106">
        <f t="shared" si="59"/>
        <v>-3.03200216163129</v>
      </c>
      <c r="G76" s="107">
        <f t="shared" si="64"/>
        <v>0.49189722775800249</v>
      </c>
      <c r="H76" s="107">
        <f t="shared" si="19"/>
        <v>-2.1119811097833008E-2</v>
      </c>
      <c r="I76" s="107">
        <f t="shared" si="65"/>
        <v>-0.51301703885583549</v>
      </c>
      <c r="K76" s="121">
        <f t="shared" si="74"/>
        <v>744</v>
      </c>
      <c r="L76" s="122">
        <f t="shared" si="67"/>
        <v>14289.364343938045</v>
      </c>
      <c r="M76" s="122">
        <f t="shared" si="60"/>
        <v>3519.1042509363006</v>
      </c>
      <c r="N76" s="122">
        <f t="shared" si="72"/>
        <v>14289.364343938045</v>
      </c>
      <c r="O76" s="122">
        <f t="shared" si="73"/>
        <v>10557.312752808903</v>
      </c>
      <c r="P76" s="122">
        <f t="shared" si="61"/>
        <v>-3732.0515911291423</v>
      </c>
      <c r="Q76" s="123">
        <f t="shared" si="68"/>
        <v>-438.52890213597675</v>
      </c>
      <c r="R76" s="127">
        <f t="shared" si="69"/>
        <v>4.0605118021542514</v>
      </c>
      <c r="S76" s="128">
        <f t="shared" si="62"/>
        <v>64</v>
      </c>
      <c r="AD76" s="83"/>
      <c r="AH76"/>
    </row>
    <row r="77" spans="1:34">
      <c r="A77" s="128">
        <f t="shared" si="63"/>
        <v>65</v>
      </c>
      <c r="B77" s="106">
        <f t="shared" si="58"/>
        <v>17.720761427755306</v>
      </c>
      <c r="C77" s="106">
        <f t="shared" si="58"/>
        <v>4.7144794468950844</v>
      </c>
      <c r="D77" s="106">
        <f t="shared" si="70"/>
        <v>17.720761427755306</v>
      </c>
      <c r="E77" s="106">
        <f t="shared" si="71"/>
        <v>14.143438340685254</v>
      </c>
      <c r="F77" s="106">
        <f t="shared" si="59"/>
        <v>-3.5773230870700523</v>
      </c>
      <c r="G77" s="107">
        <f t="shared" si="64"/>
        <v>0.49882277041312761</v>
      </c>
      <c r="H77" s="107">
        <f t="shared" si="19"/>
        <v>-4.6498155025634702E-2</v>
      </c>
      <c r="I77" s="107">
        <f t="shared" si="65"/>
        <v>-0.54532092543876232</v>
      </c>
      <c r="K77" s="121">
        <f t="shared" si="74"/>
        <v>740</v>
      </c>
      <c r="L77" s="122">
        <f t="shared" si="67"/>
        <v>14658.49319404376</v>
      </c>
      <c r="M77" s="122">
        <f t="shared" si="60"/>
        <v>3488.7147907023623</v>
      </c>
      <c r="N77" s="122">
        <f t="shared" si="72"/>
        <v>14658.49319404376</v>
      </c>
      <c r="O77" s="122">
        <f t="shared" si="73"/>
        <v>10466.144372107086</v>
      </c>
      <c r="P77" s="122">
        <f t="shared" si="61"/>
        <v>-4192.3488219366736</v>
      </c>
      <c r="Q77" s="123">
        <f t="shared" si="68"/>
        <v>-460.29723080753138</v>
      </c>
      <c r="R77" s="127">
        <f t="shared" si="69"/>
        <v>4.2016886083980092</v>
      </c>
      <c r="S77" s="128">
        <f t="shared" si="62"/>
        <v>65</v>
      </c>
      <c r="AD77" s="83"/>
      <c r="AH77"/>
    </row>
    <row r="78" spans="1:34">
      <c r="A78" s="128">
        <f>A77+1</f>
        <v>66</v>
      </c>
      <c r="B78" s="106">
        <f t="shared" si="58"/>
        <v>18.226509740823555</v>
      </c>
      <c r="C78" s="106">
        <f t="shared" si="58"/>
        <v>4.6901699608776717</v>
      </c>
      <c r="D78" s="106">
        <f t="shared" si="70"/>
        <v>18.226509740823555</v>
      </c>
      <c r="E78" s="106">
        <f t="shared" si="71"/>
        <v>14.070509882633015</v>
      </c>
      <c r="F78" s="106">
        <f t="shared" si="59"/>
        <v>-4.1559998581905404</v>
      </c>
      <c r="G78" s="107">
        <f t="shared" si="64"/>
        <v>0.50574831306824919</v>
      </c>
      <c r="H78" s="107">
        <f t="shared" si="64"/>
        <v>-7.2928458052238909E-2</v>
      </c>
      <c r="I78" s="107">
        <f t="shared" si="65"/>
        <v>-0.5786767711204881</v>
      </c>
      <c r="K78" s="121">
        <f t="shared" si="74"/>
        <v>736</v>
      </c>
      <c r="L78" s="122">
        <f t="shared" si="67"/>
        <v>15030.723952461991</v>
      </c>
      <c r="M78" s="122">
        <f t="shared" si="60"/>
        <v>3451.9650912059665</v>
      </c>
      <c r="N78" s="122">
        <f t="shared" si="72"/>
        <v>15030.723952461991</v>
      </c>
      <c r="O78" s="122">
        <f t="shared" si="73"/>
        <v>10355.8952736179</v>
      </c>
      <c r="P78" s="122">
        <f t="shared" si="61"/>
        <v>-4674.828678844091</v>
      </c>
      <c r="Q78" s="123">
        <f t="shared" si="68"/>
        <v>-482.47985690741734</v>
      </c>
      <c r="R78" s="127">
        <f t="shared" si="69"/>
        <v>4.3542514351473089</v>
      </c>
      <c r="S78" s="128">
        <f t="shared" si="62"/>
        <v>66</v>
      </c>
      <c r="AD78" s="83"/>
      <c r="AH78"/>
    </row>
    <row r="79" spans="1:34">
      <c r="A79" s="128">
        <f t="shared" si="63"/>
        <v>67</v>
      </c>
      <c r="B79" s="106">
        <f t="shared" si="58"/>
        <v>18.739183596546933</v>
      </c>
      <c r="C79" s="106">
        <f t="shared" si="58"/>
        <v>4.6566948524309719</v>
      </c>
      <c r="D79" s="106">
        <f t="shared" si="70"/>
        <v>18.739183596546933</v>
      </c>
      <c r="E79" s="106">
        <f t="shared" si="71"/>
        <v>13.970084557292916</v>
      </c>
      <c r="F79" s="106">
        <f t="shared" si="59"/>
        <v>-4.7690990392540176</v>
      </c>
      <c r="G79" s="107">
        <f t="shared" si="64"/>
        <v>0.51267385572337787</v>
      </c>
      <c r="H79" s="107">
        <f t="shared" si="64"/>
        <v>-0.10042532534009929</v>
      </c>
      <c r="I79" s="107">
        <f t="shared" si="65"/>
        <v>-0.61309918106347716</v>
      </c>
      <c r="K79" s="121">
        <f t="shared" si="74"/>
        <v>732</v>
      </c>
      <c r="L79" s="122">
        <f t="shared" si="67"/>
        <v>15406.001214851503</v>
      </c>
      <c r="M79" s="122">
        <f t="shared" si="60"/>
        <v>3408.7006319794714</v>
      </c>
      <c r="N79" s="122">
        <f t="shared" si="72"/>
        <v>15406.001214851503</v>
      </c>
      <c r="O79" s="122">
        <f t="shared" si="73"/>
        <v>10226.101895938415</v>
      </c>
      <c r="P79" s="122">
        <f t="shared" si="61"/>
        <v>-5179.8993189130888</v>
      </c>
      <c r="Q79" s="123">
        <f t="shared" si="68"/>
        <v>-505.07064006899782</v>
      </c>
      <c r="R79" s="127">
        <f t="shared" si="69"/>
        <v>4.519611100580887</v>
      </c>
      <c r="S79" s="128">
        <f t="shared" si="62"/>
        <v>67</v>
      </c>
      <c r="AD79" s="83"/>
      <c r="AH79"/>
    </row>
    <row r="80" spans="1:34">
      <c r="A80" s="128">
        <f t="shared" si="63"/>
        <v>68</v>
      </c>
      <c r="B80" s="106">
        <f t="shared" si="58"/>
        <v>19.258782994925436</v>
      </c>
      <c r="C80" s="106">
        <f t="shared" si="58"/>
        <v>4.6136937317470634</v>
      </c>
      <c r="D80" s="106">
        <f t="shared" si="70"/>
        <v>19.258782994925436</v>
      </c>
      <c r="E80" s="106">
        <f t="shared" si="71"/>
        <v>13.841081195241191</v>
      </c>
      <c r="F80" s="106">
        <f t="shared" si="59"/>
        <v>-5.4177017996842451</v>
      </c>
      <c r="G80" s="107">
        <f t="shared" si="64"/>
        <v>0.519599398378503</v>
      </c>
      <c r="H80" s="107">
        <f t="shared" si="64"/>
        <v>-0.12900336205172458</v>
      </c>
      <c r="I80" s="107">
        <f t="shared" si="65"/>
        <v>-0.64860276043022758</v>
      </c>
      <c r="K80" s="121">
        <f t="shared" si="74"/>
        <v>728</v>
      </c>
      <c r="L80" s="122">
        <f t="shared" si="67"/>
        <v>15784.269576871053</v>
      </c>
      <c r="M80" s="122">
        <f t="shared" si="60"/>
        <v>3358.7690367118621</v>
      </c>
      <c r="N80" s="122">
        <f t="shared" si="72"/>
        <v>15784.269576871053</v>
      </c>
      <c r="O80" s="122">
        <f t="shared" si="73"/>
        <v>10076.307110135585</v>
      </c>
      <c r="P80" s="122">
        <f t="shared" si="61"/>
        <v>-5707.9624667354674</v>
      </c>
      <c r="Q80" s="123">
        <f t="shared" si="68"/>
        <v>-528.0631478223786</v>
      </c>
      <c r="R80" s="127">
        <f t="shared" si="69"/>
        <v>4.6994209498618567</v>
      </c>
      <c r="S80" s="128">
        <f t="shared" si="62"/>
        <v>68</v>
      </c>
      <c r="AD80" s="83"/>
      <c r="AH80"/>
    </row>
    <row r="81" spans="1:34">
      <c r="A81" s="128">
        <f t="shared" si="63"/>
        <v>69</v>
      </c>
      <c r="B81" s="106">
        <f t="shared" si="58"/>
        <v>19.785307935959061</v>
      </c>
      <c r="C81" s="106">
        <f t="shared" si="58"/>
        <v>4.5608013406305385</v>
      </c>
      <c r="D81" s="106">
        <f t="shared" si="70"/>
        <v>19.785307935959061</v>
      </c>
      <c r="E81" s="106">
        <f t="shared" si="71"/>
        <v>13.682404021891616</v>
      </c>
      <c r="F81" s="106">
        <f t="shared" si="59"/>
        <v>-6.1029039140674453</v>
      </c>
      <c r="G81" s="107">
        <f t="shared" si="64"/>
        <v>0.52652494103362457</v>
      </c>
      <c r="H81" s="107">
        <f t="shared" si="64"/>
        <v>-0.15867717334957554</v>
      </c>
      <c r="I81" s="107">
        <f t="shared" si="65"/>
        <v>-0.68520211438320011</v>
      </c>
      <c r="K81" s="121">
        <f t="shared" si="74"/>
        <v>724</v>
      </c>
      <c r="L81" s="122">
        <f t="shared" si="67"/>
        <v>16165.473634179398</v>
      </c>
      <c r="M81" s="122">
        <f t="shared" si="60"/>
        <v>3302.0201706165099</v>
      </c>
      <c r="N81" s="122">
        <f t="shared" si="72"/>
        <v>16165.473634179398</v>
      </c>
      <c r="O81" s="122">
        <f t="shared" si="73"/>
        <v>9906.0605118495296</v>
      </c>
      <c r="P81" s="122">
        <f t="shared" si="61"/>
        <v>-6259.4131223298682</v>
      </c>
      <c r="Q81" s="123">
        <f t="shared" si="68"/>
        <v>-551.45065559440081</v>
      </c>
      <c r="R81" s="127">
        <f t="shared" si="69"/>
        <v>4.8956314010526452</v>
      </c>
      <c r="S81" s="128">
        <f t="shared" si="62"/>
        <v>69</v>
      </c>
      <c r="AD81" s="83"/>
      <c r="AH81"/>
    </row>
    <row r="82" spans="1:34">
      <c r="A82" s="128">
        <f t="shared" si="63"/>
        <v>70</v>
      </c>
      <c r="B82" s="106">
        <f t="shared" si="58"/>
        <v>20.318758419647818</v>
      </c>
      <c r="C82" s="106">
        <f t="shared" si="58"/>
        <v>4.4976475524984938</v>
      </c>
      <c r="D82" s="106">
        <f t="shared" si="70"/>
        <v>20.318758419647818</v>
      </c>
      <c r="E82" s="106">
        <f t="shared" si="71"/>
        <v>13.492942657495481</v>
      </c>
      <c r="F82" s="106">
        <f t="shared" si="59"/>
        <v>-6.8258157621523363</v>
      </c>
      <c r="G82" s="107">
        <f t="shared" si="64"/>
        <v>0.5334504836887568</v>
      </c>
      <c r="H82" s="107">
        <f t="shared" si="64"/>
        <v>-0.18946136439613426</v>
      </c>
      <c r="I82" s="107">
        <f t="shared" si="65"/>
        <v>-0.72291184808489106</v>
      </c>
      <c r="K82" s="121">
        <f t="shared" si="74"/>
        <v>720</v>
      </c>
      <c r="L82" s="122">
        <f t="shared" si="67"/>
        <v>16549.557982435304</v>
      </c>
      <c r="M82" s="122">
        <f t="shared" si="60"/>
        <v>3238.3062377989154</v>
      </c>
      <c r="N82" s="122">
        <f t="shared" si="72"/>
        <v>16549.557982435304</v>
      </c>
      <c r="O82" s="122">
        <f t="shared" si="73"/>
        <v>9714.9187133967462</v>
      </c>
      <c r="P82" s="122">
        <f t="shared" si="61"/>
        <v>-6834.6392690385583</v>
      </c>
      <c r="Q82" s="123">
        <f t="shared" si="68"/>
        <v>-575.22614670869007</v>
      </c>
      <c r="R82" s="127">
        <f t="shared" si="69"/>
        <v>5.1105598937066805</v>
      </c>
      <c r="S82" s="128">
        <f t="shared" si="62"/>
        <v>70</v>
      </c>
      <c r="AD82" s="83"/>
      <c r="AH82"/>
    </row>
  </sheetData>
  <mergeCells count="2">
    <mergeCell ref="K10:R10"/>
    <mergeCell ref="B10:I10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E0B0-C92D-2047-84B8-F9820A023F18}">
  <sheetPr>
    <tabColor rgb="FFFFC000"/>
  </sheetPr>
  <dimension ref="A1:BQ165"/>
  <sheetViews>
    <sheetView workbookViewId="0">
      <selection activeCell="L16" sqref="L16"/>
    </sheetView>
  </sheetViews>
  <sheetFormatPr baseColWidth="10" defaultRowHeight="31"/>
  <cols>
    <col min="1" max="1" width="10.83203125" style="160"/>
    <col min="2" max="3" width="16.5" style="159" customWidth="1"/>
    <col min="4" max="4" width="44.6640625" style="159" customWidth="1"/>
    <col min="5" max="5" width="16.83203125" style="159" customWidth="1"/>
    <col min="6" max="6" width="21.83203125" style="159" customWidth="1"/>
    <col min="7" max="7" width="24" style="159" customWidth="1"/>
    <col min="8" max="11" width="18.1640625" style="159" customWidth="1"/>
    <col min="12" max="12" width="21.5" style="159" customWidth="1"/>
    <col min="13" max="13" width="18.1640625" style="159" customWidth="1"/>
    <col min="14" max="15" width="18.1640625" style="160" customWidth="1"/>
    <col min="16" max="26" width="10.83203125" style="160"/>
    <col min="27" max="49" width="10.83203125" style="164"/>
    <col min="50" max="69" width="10.83203125" style="148"/>
  </cols>
  <sheetData>
    <row r="1" spans="3:12" ht="43">
      <c r="C1" s="214" t="s">
        <v>102</v>
      </c>
      <c r="D1" s="215"/>
      <c r="E1" s="215"/>
      <c r="F1" s="215"/>
      <c r="G1" s="215"/>
      <c r="H1" s="215"/>
      <c r="I1" s="215"/>
      <c r="J1" s="215"/>
      <c r="K1" s="215"/>
      <c r="L1" s="216"/>
    </row>
    <row r="2" spans="3:12" ht="32" thickBot="1">
      <c r="C2" s="217" t="s">
        <v>101</v>
      </c>
      <c r="D2" s="218"/>
      <c r="E2" s="218"/>
      <c r="F2" s="218"/>
      <c r="G2" s="218"/>
      <c r="H2" s="218"/>
      <c r="I2" s="218"/>
      <c r="J2" s="218"/>
      <c r="K2" s="218"/>
      <c r="L2" s="219"/>
    </row>
    <row r="4" spans="3:12">
      <c r="C4" s="158" t="s">
        <v>95</v>
      </c>
    </row>
    <row r="6" spans="3:12">
      <c r="C6" s="158" t="s">
        <v>96</v>
      </c>
    </row>
    <row r="8" spans="3:12">
      <c r="C8" s="158" t="s">
        <v>97</v>
      </c>
    </row>
    <row r="11" spans="3:12">
      <c r="E11" s="156"/>
      <c r="F11" s="156" t="s">
        <v>63</v>
      </c>
      <c r="G11" s="165">
        <f>'Sale Day'!M1</f>
        <v>1000</v>
      </c>
      <c r="H11" s="158" t="s">
        <v>87</v>
      </c>
    </row>
    <row r="12" spans="3:12">
      <c r="E12" s="156"/>
      <c r="F12" s="156" t="s">
        <v>65</v>
      </c>
      <c r="G12" s="165">
        <f>'Sale Day'!M2</f>
        <v>4</v>
      </c>
      <c r="H12" s="158" t="s">
        <v>66</v>
      </c>
      <c r="I12" s="156"/>
      <c r="J12" s="166">
        <f>(G12/G11)*100</f>
        <v>0.4</v>
      </c>
      <c r="K12" s="161" t="s">
        <v>73</v>
      </c>
    </row>
    <row r="14" spans="3:12">
      <c r="D14" s="165"/>
      <c r="E14" s="165"/>
      <c r="F14" s="157" t="s">
        <v>88</v>
      </c>
      <c r="G14" s="157"/>
      <c r="H14" s="157"/>
      <c r="I14" s="157"/>
      <c r="J14" s="157"/>
      <c r="K14" s="157"/>
      <c r="L14" s="157" t="s">
        <v>92</v>
      </c>
    </row>
    <row r="15" spans="3:12">
      <c r="D15" s="167" t="s">
        <v>77</v>
      </c>
      <c r="E15" s="165"/>
      <c r="F15" s="157">
        <v>0</v>
      </c>
      <c r="G15" s="157"/>
      <c r="H15" s="157"/>
      <c r="I15" s="157"/>
      <c r="J15" s="157"/>
      <c r="K15" s="157"/>
      <c r="L15" s="157">
        <v>0</v>
      </c>
    </row>
    <row r="16" spans="3:12">
      <c r="D16" s="167" t="s">
        <v>78</v>
      </c>
      <c r="E16" s="165"/>
      <c r="F16" s="157">
        <v>7</v>
      </c>
      <c r="G16" s="157"/>
      <c r="H16" s="157"/>
      <c r="I16" s="157"/>
      <c r="J16" s="157"/>
      <c r="K16" s="157"/>
      <c r="L16" s="157">
        <v>70</v>
      </c>
    </row>
    <row r="17" spans="4:14">
      <c r="D17" s="167" t="s">
        <v>79</v>
      </c>
      <c r="E17" s="165"/>
      <c r="F17" s="157">
        <v>10</v>
      </c>
      <c r="G17" s="157"/>
      <c r="H17" s="157"/>
      <c r="I17" s="157"/>
      <c r="J17" s="157"/>
      <c r="K17" s="157"/>
      <c r="L17" s="157">
        <v>10</v>
      </c>
    </row>
    <row r="18" spans="4:14" hidden="1">
      <c r="D18" s="165" t="s">
        <v>90</v>
      </c>
      <c r="E18" s="165"/>
      <c r="F18" s="168">
        <f t="shared" ref="F18:L19" si="0">$N$100+$M$100*F15+$L$100*F15^2+$K$100*F15^3+$J$100*F15^4</f>
        <v>-225.11622370198785</v>
      </c>
      <c r="G18" s="168">
        <f t="shared" si="0"/>
        <v>-225.11622370198785</v>
      </c>
      <c r="H18" s="168">
        <f t="shared" si="0"/>
        <v>-225.11622370198785</v>
      </c>
      <c r="I18" s="168">
        <f t="shared" si="0"/>
        <v>-225.11622370198785</v>
      </c>
      <c r="J18" s="168">
        <f t="shared" si="0"/>
        <v>-225.11622370198785</v>
      </c>
      <c r="K18" s="168">
        <f t="shared" si="0"/>
        <v>-225.11622370198785</v>
      </c>
      <c r="L18" s="168">
        <f t="shared" si="0"/>
        <v>-225.11622370198785</v>
      </c>
      <c r="N18" s="169"/>
    </row>
    <row r="19" spans="4:14" hidden="1">
      <c r="D19" s="165" t="s">
        <v>89</v>
      </c>
      <c r="E19" s="165"/>
      <c r="F19" s="168">
        <f t="shared" si="0"/>
        <v>241.29433057620423</v>
      </c>
      <c r="G19" s="168">
        <f t="shared" si="0"/>
        <v>-225.11622370198785</v>
      </c>
      <c r="H19" s="168">
        <f t="shared" si="0"/>
        <v>-225.11622370198785</v>
      </c>
      <c r="I19" s="168">
        <f t="shared" si="0"/>
        <v>-225.11622370198785</v>
      </c>
      <c r="J19" s="168">
        <f t="shared" si="0"/>
        <v>-225.11622370198785</v>
      </c>
      <c r="K19" s="168">
        <f t="shared" si="0"/>
        <v>-225.11622370198785</v>
      </c>
      <c r="L19" s="168">
        <f t="shared" si="0"/>
        <v>16548.91157611223</v>
      </c>
    </row>
    <row r="20" spans="4:14">
      <c r="D20" s="167" t="s">
        <v>119</v>
      </c>
      <c r="E20" s="165"/>
      <c r="F20" s="168">
        <f t="shared" ref="F20:L21" si="1">IF(F18&lt;0,0,F18)</f>
        <v>0</v>
      </c>
      <c r="G20" s="168">
        <f t="shared" si="1"/>
        <v>0</v>
      </c>
      <c r="H20" s="168">
        <f t="shared" si="1"/>
        <v>0</v>
      </c>
      <c r="I20" s="168">
        <f t="shared" si="1"/>
        <v>0</v>
      </c>
      <c r="J20" s="168">
        <f t="shared" si="1"/>
        <v>0</v>
      </c>
      <c r="K20" s="168">
        <f t="shared" si="1"/>
        <v>0</v>
      </c>
      <c r="L20" s="168">
        <f t="shared" si="1"/>
        <v>0</v>
      </c>
    </row>
    <row r="21" spans="4:14">
      <c r="D21" s="167" t="s">
        <v>120</v>
      </c>
      <c r="E21" s="165"/>
      <c r="F21" s="168">
        <f t="shared" si="1"/>
        <v>241.29433057620423</v>
      </c>
      <c r="G21" s="168">
        <f t="shared" si="1"/>
        <v>0</v>
      </c>
      <c r="H21" s="168">
        <f t="shared" si="1"/>
        <v>0</v>
      </c>
      <c r="I21" s="168">
        <f t="shared" si="1"/>
        <v>0</v>
      </c>
      <c r="J21" s="168">
        <f t="shared" si="1"/>
        <v>0</v>
      </c>
      <c r="K21" s="168">
        <f t="shared" si="1"/>
        <v>0</v>
      </c>
      <c r="L21" s="168">
        <f t="shared" si="1"/>
        <v>16548.91157611223</v>
      </c>
    </row>
    <row r="22" spans="4:14">
      <c r="D22" s="170" t="s">
        <v>121</v>
      </c>
      <c r="E22" s="165"/>
      <c r="F22" s="168">
        <f>F21-F20</f>
        <v>241.29433057620423</v>
      </c>
      <c r="G22" s="168">
        <f t="shared" ref="G22:L22" si="2">G21-G20</f>
        <v>0</v>
      </c>
      <c r="H22" s="168">
        <f t="shared" si="2"/>
        <v>0</v>
      </c>
      <c r="I22" s="168">
        <f t="shared" si="2"/>
        <v>0</v>
      </c>
      <c r="J22" s="168">
        <f t="shared" si="2"/>
        <v>0</v>
      </c>
      <c r="K22" s="168">
        <f t="shared" si="2"/>
        <v>0</v>
      </c>
      <c r="L22" s="168">
        <f t="shared" si="2"/>
        <v>16548.91157611223</v>
      </c>
    </row>
    <row r="23" spans="4:14">
      <c r="D23" s="167" t="s">
        <v>91</v>
      </c>
      <c r="E23" s="165" t="s">
        <v>93</v>
      </c>
      <c r="F23" s="171">
        <f t="shared" ref="F23:L23" si="3">F22*((100+F17)/100)</f>
        <v>265.42376363382465</v>
      </c>
      <c r="G23" s="171">
        <f t="shared" si="3"/>
        <v>0</v>
      </c>
      <c r="H23" s="171">
        <f t="shared" si="3"/>
        <v>0</v>
      </c>
      <c r="I23" s="171">
        <f t="shared" si="3"/>
        <v>0</v>
      </c>
      <c r="J23" s="171">
        <f t="shared" si="3"/>
        <v>0</v>
      </c>
      <c r="K23" s="171">
        <f t="shared" si="3"/>
        <v>0</v>
      </c>
      <c r="L23" s="171">
        <f t="shared" si="3"/>
        <v>18203.802733723456</v>
      </c>
    </row>
    <row r="24" spans="4:14">
      <c r="D24" s="167" t="s">
        <v>91</v>
      </c>
      <c r="E24" s="165" t="s">
        <v>94</v>
      </c>
      <c r="F24" s="172">
        <f>F23/1000</f>
        <v>0.26542376363382464</v>
      </c>
      <c r="G24" s="172">
        <f t="shared" ref="G24:L24" si="4">G23/1000</f>
        <v>0</v>
      </c>
      <c r="H24" s="172">
        <f t="shared" si="4"/>
        <v>0</v>
      </c>
      <c r="I24" s="172">
        <f t="shared" si="4"/>
        <v>0</v>
      </c>
      <c r="J24" s="172">
        <f t="shared" si="4"/>
        <v>0</v>
      </c>
      <c r="K24" s="172">
        <f t="shared" si="4"/>
        <v>0</v>
      </c>
      <c r="L24" s="172">
        <f t="shared" si="4"/>
        <v>18.203802733723457</v>
      </c>
      <c r="M24" s="173"/>
    </row>
    <row r="25" spans="4:14">
      <c r="D25" s="160"/>
      <c r="G25" s="173"/>
      <c r="H25" s="173"/>
      <c r="I25" s="173"/>
      <c r="J25" s="173"/>
      <c r="K25" s="173"/>
      <c r="L25" s="173"/>
      <c r="M25" s="173"/>
    </row>
    <row r="26" spans="4:14">
      <c r="D26" s="167" t="s">
        <v>98</v>
      </c>
      <c r="E26" s="165" t="s">
        <v>99</v>
      </c>
      <c r="F26" s="157">
        <v>600</v>
      </c>
      <c r="G26" s="163"/>
      <c r="H26" s="163"/>
      <c r="I26" s="163"/>
      <c r="J26" s="163"/>
      <c r="K26" s="163"/>
      <c r="L26" s="168"/>
      <c r="M26" s="173"/>
    </row>
    <row r="27" spans="4:14">
      <c r="D27" s="167" t="s">
        <v>100</v>
      </c>
      <c r="E27" s="165" t="s">
        <v>99</v>
      </c>
      <c r="F27" s="162">
        <f>F26*F24</f>
        <v>159.25425818029478</v>
      </c>
      <c r="G27" s="162">
        <f t="shared" ref="G27:K27" si="5">G26*G24</f>
        <v>0</v>
      </c>
      <c r="H27" s="162">
        <f t="shared" si="5"/>
        <v>0</v>
      </c>
      <c r="I27" s="162">
        <f t="shared" si="5"/>
        <v>0</v>
      </c>
      <c r="J27" s="162">
        <f t="shared" si="5"/>
        <v>0</v>
      </c>
      <c r="K27" s="162">
        <f t="shared" si="5"/>
        <v>0</v>
      </c>
      <c r="L27" s="162">
        <f>SUM(F27:K27)</f>
        <v>159.25425818029478</v>
      </c>
      <c r="M27" s="173"/>
    </row>
    <row r="28" spans="4:14">
      <c r="D28" s="160"/>
      <c r="G28" s="173"/>
      <c r="H28" s="173"/>
      <c r="I28" s="173"/>
      <c r="J28" s="173"/>
      <c r="K28" s="173"/>
      <c r="L28" s="173"/>
      <c r="M28" s="173"/>
    </row>
    <row r="29" spans="4:14">
      <c r="D29" s="160"/>
      <c r="G29" s="173"/>
      <c r="H29" s="173"/>
      <c r="I29" s="173"/>
      <c r="J29" s="173"/>
      <c r="K29" s="173"/>
      <c r="L29" s="173"/>
      <c r="M29" s="173"/>
    </row>
    <row r="30" spans="4:14">
      <c r="D30" s="160"/>
      <c r="G30" s="173"/>
      <c r="H30" s="173"/>
      <c r="I30" s="173"/>
      <c r="J30" s="173"/>
      <c r="K30" s="173"/>
      <c r="L30" s="173"/>
      <c r="M30" s="173"/>
    </row>
    <row r="31" spans="4:14">
      <c r="D31" s="160"/>
      <c r="G31" s="173"/>
      <c r="H31" s="173"/>
      <c r="I31" s="173"/>
      <c r="J31" s="173"/>
      <c r="K31" s="173"/>
      <c r="L31" s="173"/>
      <c r="M31" s="173"/>
    </row>
    <row r="32" spans="4:14">
      <c r="D32" s="160"/>
      <c r="G32" s="173"/>
      <c r="H32" s="173"/>
      <c r="I32" s="173"/>
      <c r="J32" s="173"/>
      <c r="K32" s="173"/>
      <c r="L32" s="173"/>
      <c r="M32" s="173"/>
    </row>
    <row r="33" spans="4:13">
      <c r="D33" s="160"/>
      <c r="G33" s="173"/>
      <c r="H33" s="173"/>
      <c r="I33" s="173"/>
      <c r="J33" s="173"/>
      <c r="K33" s="173"/>
      <c r="L33" s="173"/>
      <c r="M33" s="173"/>
    </row>
    <row r="34" spans="4:13">
      <c r="D34" s="160"/>
      <c r="G34" s="173"/>
      <c r="H34" s="173"/>
      <c r="I34" s="173"/>
      <c r="J34" s="173"/>
      <c r="K34" s="173"/>
      <c r="L34" s="173"/>
      <c r="M34" s="173"/>
    </row>
    <row r="35" spans="4:13">
      <c r="D35" s="160"/>
      <c r="G35" s="173"/>
      <c r="H35" s="173"/>
      <c r="I35" s="173"/>
      <c r="J35" s="173"/>
      <c r="K35" s="173"/>
      <c r="L35" s="173"/>
      <c r="M35" s="173"/>
    </row>
    <row r="36" spans="4:13">
      <c r="D36" s="160"/>
      <c r="G36" s="173"/>
      <c r="H36" s="173"/>
      <c r="I36" s="173"/>
      <c r="J36" s="173"/>
      <c r="K36" s="173"/>
      <c r="L36" s="173"/>
      <c r="M36" s="173"/>
    </row>
    <row r="37" spans="4:13">
      <c r="D37" s="160"/>
      <c r="G37" s="173"/>
      <c r="H37" s="173"/>
      <c r="I37" s="173"/>
      <c r="J37" s="173"/>
      <c r="K37" s="173"/>
      <c r="L37" s="173"/>
      <c r="M37" s="173"/>
    </row>
    <row r="38" spans="4:13">
      <c r="D38" s="160"/>
      <c r="G38" s="173"/>
      <c r="H38" s="173"/>
      <c r="I38" s="173"/>
      <c r="J38" s="173"/>
      <c r="K38" s="173"/>
      <c r="L38" s="173"/>
      <c r="M38" s="173"/>
    </row>
    <row r="39" spans="4:13">
      <c r="D39" s="160"/>
      <c r="G39" s="173"/>
      <c r="H39" s="173"/>
      <c r="I39" s="173"/>
      <c r="J39" s="173"/>
      <c r="K39" s="173"/>
      <c r="L39" s="173"/>
      <c r="M39" s="173"/>
    </row>
    <row r="40" spans="4:13">
      <c r="D40" s="160"/>
      <c r="G40" s="173"/>
      <c r="H40" s="173"/>
      <c r="I40" s="173"/>
      <c r="J40" s="173"/>
      <c r="K40" s="173"/>
      <c r="L40" s="173"/>
      <c r="M40" s="173"/>
    </row>
    <row r="41" spans="4:13">
      <c r="D41" s="160"/>
      <c r="G41" s="173"/>
      <c r="H41" s="173"/>
      <c r="I41" s="173"/>
      <c r="J41" s="173"/>
      <c r="K41" s="173"/>
      <c r="L41" s="173"/>
      <c r="M41" s="173"/>
    </row>
    <row r="42" spans="4:13">
      <c r="D42" s="160"/>
      <c r="G42" s="173"/>
      <c r="H42" s="173"/>
      <c r="I42" s="173"/>
      <c r="J42" s="173"/>
      <c r="K42" s="173"/>
      <c r="L42" s="173"/>
      <c r="M42" s="173"/>
    </row>
    <row r="43" spans="4:13">
      <c r="D43" s="160"/>
      <c r="G43" s="173"/>
      <c r="H43" s="173"/>
      <c r="I43" s="173"/>
      <c r="J43" s="173"/>
      <c r="K43" s="173"/>
      <c r="L43" s="173"/>
      <c r="M43" s="173"/>
    </row>
    <row r="44" spans="4:13">
      <c r="D44" s="160"/>
      <c r="G44" s="173"/>
      <c r="H44" s="173"/>
      <c r="I44" s="173"/>
      <c r="J44" s="173"/>
      <c r="K44" s="173"/>
      <c r="L44" s="173"/>
      <c r="M44" s="173"/>
    </row>
    <row r="45" spans="4:13">
      <c r="D45" s="160"/>
      <c r="G45" s="173"/>
      <c r="H45" s="173"/>
      <c r="I45" s="173"/>
      <c r="J45" s="173"/>
      <c r="K45" s="173"/>
      <c r="L45" s="173"/>
      <c r="M45" s="173"/>
    </row>
    <row r="46" spans="4:13">
      <c r="D46" s="160"/>
      <c r="G46" s="173"/>
      <c r="H46" s="173"/>
      <c r="I46" s="173"/>
      <c r="J46" s="173"/>
      <c r="K46" s="173"/>
      <c r="L46" s="173"/>
      <c r="M46" s="173"/>
    </row>
    <row r="47" spans="4:13">
      <c r="D47" s="160"/>
      <c r="G47" s="173"/>
      <c r="H47" s="173"/>
      <c r="I47" s="173"/>
      <c r="J47" s="173"/>
      <c r="K47" s="173"/>
      <c r="L47" s="173"/>
      <c r="M47" s="173"/>
    </row>
    <row r="48" spans="4:13">
      <c r="D48" s="160"/>
      <c r="G48" s="173"/>
      <c r="H48" s="173"/>
      <c r="I48" s="173"/>
      <c r="J48" s="173"/>
      <c r="K48" s="173"/>
      <c r="L48" s="173"/>
      <c r="M48" s="173"/>
    </row>
    <row r="49" spans="4:13">
      <c r="D49" s="160"/>
      <c r="G49" s="173"/>
      <c r="H49" s="173"/>
      <c r="I49" s="173"/>
      <c r="J49" s="173"/>
      <c r="K49" s="173"/>
      <c r="L49" s="173"/>
      <c r="M49" s="173"/>
    </row>
    <row r="50" spans="4:13">
      <c r="D50" s="160"/>
      <c r="G50" s="173"/>
      <c r="H50" s="173"/>
      <c r="I50" s="173"/>
      <c r="J50" s="173"/>
      <c r="K50" s="173"/>
      <c r="L50" s="173"/>
      <c r="M50" s="173"/>
    </row>
    <row r="51" spans="4:13">
      <c r="D51" s="160"/>
      <c r="G51" s="173"/>
      <c r="H51" s="173"/>
      <c r="I51" s="173"/>
      <c r="J51" s="173"/>
      <c r="K51" s="173"/>
      <c r="L51" s="173"/>
      <c r="M51" s="173"/>
    </row>
    <row r="52" spans="4:13">
      <c r="D52" s="160"/>
      <c r="G52" s="173"/>
      <c r="H52" s="173"/>
      <c r="I52" s="173"/>
      <c r="J52" s="173"/>
      <c r="K52" s="173"/>
      <c r="L52" s="173"/>
      <c r="M52" s="173"/>
    </row>
    <row r="53" spans="4:13">
      <c r="D53" s="160"/>
      <c r="G53" s="173"/>
      <c r="H53" s="173"/>
      <c r="I53" s="173"/>
      <c r="J53" s="173"/>
      <c r="K53" s="173"/>
      <c r="L53" s="173"/>
      <c r="M53" s="173"/>
    </row>
    <row r="54" spans="4:13">
      <c r="D54" s="160"/>
      <c r="G54" s="173"/>
      <c r="H54" s="173"/>
      <c r="I54" s="173"/>
      <c r="J54" s="173"/>
      <c r="K54" s="173"/>
      <c r="L54" s="173"/>
      <c r="M54" s="173"/>
    </row>
    <row r="55" spans="4:13">
      <c r="D55" s="160"/>
      <c r="G55" s="173"/>
      <c r="H55" s="173"/>
      <c r="I55" s="173"/>
      <c r="J55" s="173"/>
      <c r="K55" s="173"/>
      <c r="L55" s="173"/>
      <c r="M55" s="173"/>
    </row>
    <row r="56" spans="4:13">
      <c r="D56" s="160"/>
      <c r="G56" s="173"/>
      <c r="H56" s="173"/>
      <c r="I56" s="173"/>
      <c r="J56" s="173"/>
      <c r="K56" s="173"/>
      <c r="L56" s="173"/>
      <c r="M56" s="173"/>
    </row>
    <row r="57" spans="4:13">
      <c r="D57" s="160"/>
      <c r="G57" s="173"/>
      <c r="H57" s="173"/>
      <c r="I57" s="173"/>
      <c r="J57" s="173"/>
      <c r="K57" s="173"/>
      <c r="L57" s="173"/>
      <c r="M57" s="173"/>
    </row>
    <row r="58" spans="4:13">
      <c r="D58" s="160"/>
      <c r="G58" s="173"/>
      <c r="H58" s="173"/>
      <c r="I58" s="173"/>
      <c r="J58" s="173"/>
      <c r="K58" s="173"/>
      <c r="L58" s="173"/>
      <c r="M58" s="173"/>
    </row>
    <row r="59" spans="4:13">
      <c r="D59" s="160"/>
      <c r="G59" s="173"/>
      <c r="H59" s="173"/>
      <c r="I59" s="173"/>
      <c r="J59" s="173"/>
      <c r="K59" s="173"/>
      <c r="L59" s="173"/>
      <c r="M59" s="173"/>
    </row>
    <row r="60" spans="4:13">
      <c r="D60" s="160"/>
      <c r="G60" s="173"/>
      <c r="H60" s="173"/>
      <c r="I60" s="173"/>
      <c r="J60" s="173"/>
      <c r="K60" s="173"/>
      <c r="L60" s="173"/>
      <c r="M60" s="173"/>
    </row>
    <row r="61" spans="4:13">
      <c r="D61" s="160"/>
      <c r="G61" s="173"/>
      <c r="H61" s="173"/>
      <c r="I61" s="173"/>
      <c r="J61" s="173"/>
      <c r="K61" s="173"/>
      <c r="L61" s="173"/>
      <c r="M61" s="173"/>
    </row>
    <row r="62" spans="4:13">
      <c r="D62" s="160"/>
      <c r="G62" s="173"/>
      <c r="H62" s="173"/>
      <c r="I62" s="173"/>
      <c r="J62" s="173"/>
      <c r="K62" s="173"/>
      <c r="L62" s="173"/>
      <c r="M62" s="173"/>
    </row>
    <row r="63" spans="4:13">
      <c r="D63" s="160"/>
      <c r="G63" s="173"/>
      <c r="H63" s="173"/>
      <c r="I63" s="173"/>
      <c r="J63" s="173"/>
      <c r="K63" s="173"/>
      <c r="L63" s="173"/>
      <c r="M63" s="173"/>
    </row>
    <row r="64" spans="4:13">
      <c r="D64" s="160"/>
      <c r="G64" s="173"/>
      <c r="H64" s="173"/>
      <c r="I64" s="173"/>
      <c r="J64" s="173"/>
      <c r="K64" s="173"/>
      <c r="L64" s="173"/>
      <c r="M64" s="173"/>
    </row>
    <row r="65" spans="4:13">
      <c r="D65" s="160"/>
      <c r="G65" s="173"/>
      <c r="H65" s="173"/>
      <c r="I65" s="173"/>
      <c r="J65" s="173"/>
      <c r="K65" s="173"/>
      <c r="L65" s="173"/>
      <c r="M65" s="173"/>
    </row>
    <row r="66" spans="4:13">
      <c r="D66" s="160"/>
      <c r="G66" s="173"/>
      <c r="H66" s="173"/>
      <c r="I66" s="173"/>
      <c r="J66" s="173"/>
      <c r="K66" s="173"/>
      <c r="L66" s="173"/>
      <c r="M66" s="173"/>
    </row>
    <row r="67" spans="4:13">
      <c r="D67" s="160"/>
      <c r="G67" s="173"/>
      <c r="H67" s="173"/>
      <c r="I67" s="173"/>
      <c r="J67" s="173"/>
      <c r="K67" s="173"/>
      <c r="L67" s="173"/>
      <c r="M67" s="173"/>
    </row>
    <row r="68" spans="4:13">
      <c r="D68" s="160"/>
      <c r="G68" s="173"/>
      <c r="H68" s="173"/>
      <c r="I68" s="173"/>
      <c r="J68" s="173"/>
      <c r="K68" s="173"/>
      <c r="L68" s="173"/>
      <c r="M68" s="173"/>
    </row>
    <row r="69" spans="4:13">
      <c r="D69" s="160"/>
      <c r="G69" s="173"/>
      <c r="H69" s="173"/>
      <c r="I69" s="173"/>
      <c r="J69" s="173"/>
      <c r="K69" s="173"/>
      <c r="L69" s="173"/>
      <c r="M69" s="173"/>
    </row>
    <row r="70" spans="4:13">
      <c r="D70" s="160"/>
      <c r="G70" s="173"/>
      <c r="H70" s="173"/>
      <c r="I70" s="173"/>
      <c r="J70" s="173"/>
      <c r="K70" s="173"/>
      <c r="L70" s="173"/>
      <c r="M70" s="173"/>
    </row>
    <row r="71" spans="4:13">
      <c r="D71" s="160"/>
      <c r="G71" s="173"/>
      <c r="H71" s="173"/>
      <c r="I71" s="173"/>
      <c r="J71" s="173"/>
      <c r="K71" s="173"/>
      <c r="L71" s="173"/>
      <c r="M71" s="173"/>
    </row>
    <row r="72" spans="4:13">
      <c r="D72" s="160"/>
      <c r="G72" s="173"/>
      <c r="H72" s="173"/>
      <c r="I72" s="173"/>
      <c r="J72" s="173"/>
      <c r="K72" s="173"/>
      <c r="L72" s="173"/>
      <c r="M72" s="173"/>
    </row>
    <row r="73" spans="4:13">
      <c r="D73" s="160"/>
      <c r="G73" s="173"/>
      <c r="H73" s="173"/>
      <c r="I73" s="173"/>
      <c r="J73" s="173"/>
      <c r="K73" s="173"/>
      <c r="L73" s="173"/>
      <c r="M73" s="173"/>
    </row>
    <row r="74" spans="4:13">
      <c r="D74" s="160"/>
      <c r="G74" s="173"/>
      <c r="H74" s="173"/>
      <c r="I74" s="173"/>
      <c r="J74" s="173"/>
      <c r="K74" s="173"/>
      <c r="L74" s="173"/>
      <c r="M74" s="173"/>
    </row>
    <row r="75" spans="4:13">
      <c r="D75" s="160"/>
      <c r="G75" s="173"/>
      <c r="H75" s="173"/>
      <c r="I75" s="173"/>
      <c r="J75" s="173"/>
      <c r="K75" s="173"/>
      <c r="L75" s="173"/>
      <c r="M75" s="173"/>
    </row>
    <row r="76" spans="4:13">
      <c r="D76" s="160"/>
      <c r="G76" s="173"/>
      <c r="H76" s="173"/>
      <c r="I76" s="173"/>
      <c r="J76" s="173"/>
      <c r="K76" s="173"/>
      <c r="L76" s="173"/>
      <c r="M76" s="173"/>
    </row>
    <row r="77" spans="4:13">
      <c r="D77" s="160"/>
      <c r="G77" s="173"/>
      <c r="H77" s="173"/>
      <c r="I77" s="173"/>
      <c r="J77" s="173"/>
      <c r="K77" s="173"/>
      <c r="L77" s="173"/>
      <c r="M77" s="173"/>
    </row>
    <row r="78" spans="4:13">
      <c r="D78" s="160"/>
      <c r="G78" s="173"/>
      <c r="H78" s="173"/>
      <c r="I78" s="173"/>
      <c r="J78" s="173"/>
      <c r="K78" s="173"/>
      <c r="L78" s="173"/>
      <c r="M78" s="173"/>
    </row>
    <row r="79" spans="4:13">
      <c r="D79" s="160"/>
      <c r="G79" s="173"/>
      <c r="H79" s="173"/>
      <c r="I79" s="173"/>
      <c r="J79" s="173"/>
      <c r="K79" s="173"/>
      <c r="L79" s="173"/>
      <c r="M79" s="173"/>
    </row>
    <row r="80" spans="4:13">
      <c r="D80" s="160"/>
      <c r="G80" s="173"/>
      <c r="H80" s="173"/>
      <c r="I80" s="173"/>
      <c r="J80" s="173"/>
      <c r="K80" s="173"/>
      <c r="L80" s="173"/>
      <c r="M80" s="173"/>
    </row>
    <row r="81" spans="4:13">
      <c r="D81" s="160"/>
      <c r="G81" s="173"/>
      <c r="H81" s="173"/>
      <c r="I81" s="173"/>
      <c r="J81" s="173"/>
      <c r="K81" s="173"/>
      <c r="L81" s="173"/>
      <c r="M81" s="173"/>
    </row>
    <row r="82" spans="4:13">
      <c r="D82" s="160"/>
      <c r="G82" s="173"/>
      <c r="H82" s="173"/>
      <c r="I82" s="173"/>
      <c r="J82" s="173"/>
      <c r="K82" s="173"/>
      <c r="L82" s="173"/>
      <c r="M82" s="173"/>
    </row>
    <row r="83" spans="4:13">
      <c r="D83" s="160"/>
      <c r="G83" s="173"/>
      <c r="H83" s="173"/>
      <c r="I83" s="173"/>
      <c r="J83" s="173"/>
      <c r="K83" s="173"/>
      <c r="L83" s="173"/>
      <c r="M83" s="173"/>
    </row>
    <row r="84" spans="4:13">
      <c r="D84" s="160"/>
      <c r="G84" s="173"/>
      <c r="H84" s="173"/>
      <c r="I84" s="173"/>
      <c r="J84" s="173"/>
      <c r="K84" s="173"/>
      <c r="L84" s="173"/>
      <c r="M84" s="173"/>
    </row>
    <row r="85" spans="4:13">
      <c r="D85" s="160"/>
      <c r="G85" s="173"/>
      <c r="H85" s="173"/>
      <c r="I85" s="173"/>
      <c r="J85" s="173"/>
      <c r="K85" s="173"/>
      <c r="L85" s="173"/>
      <c r="M85" s="173"/>
    </row>
    <row r="86" spans="4:13">
      <c r="D86" s="160"/>
      <c r="G86" s="173"/>
      <c r="H86" s="173"/>
      <c r="I86" s="173"/>
      <c r="J86" s="173"/>
      <c r="K86" s="173"/>
      <c r="L86" s="173"/>
      <c r="M86" s="173"/>
    </row>
    <row r="87" spans="4:13">
      <c r="D87" s="160"/>
      <c r="G87" s="173"/>
      <c r="H87" s="173"/>
      <c r="I87" s="173"/>
      <c r="J87" s="173"/>
      <c r="K87" s="173"/>
      <c r="L87" s="173"/>
      <c r="M87" s="173"/>
    </row>
    <row r="88" spans="4:13">
      <c r="D88" s="160"/>
      <c r="G88" s="173"/>
      <c r="H88" s="173"/>
      <c r="I88" s="173"/>
      <c r="J88" s="173"/>
      <c r="K88" s="173"/>
      <c r="L88" s="173"/>
      <c r="M88" s="173"/>
    </row>
    <row r="89" spans="4:13">
      <c r="D89" s="160"/>
      <c r="G89" s="173"/>
      <c r="H89" s="173"/>
      <c r="I89" s="173"/>
      <c r="J89" s="173"/>
      <c r="K89" s="173"/>
      <c r="L89" s="173"/>
      <c r="M89" s="173"/>
    </row>
    <row r="90" spans="4:13">
      <c r="D90" s="160"/>
      <c r="G90" s="173"/>
      <c r="H90" s="173"/>
      <c r="I90" s="173"/>
      <c r="J90" s="173"/>
      <c r="K90" s="173"/>
      <c r="L90" s="173"/>
      <c r="M90" s="173"/>
    </row>
    <row r="91" spans="4:13">
      <c r="D91" s="160"/>
      <c r="G91" s="173"/>
      <c r="H91" s="173"/>
      <c r="I91" s="173"/>
      <c r="J91" s="173"/>
      <c r="K91" s="173"/>
      <c r="L91" s="173"/>
      <c r="M91" s="173"/>
    </row>
    <row r="92" spans="4:13">
      <c r="D92" s="160"/>
      <c r="G92" s="173"/>
      <c r="H92" s="173"/>
      <c r="I92" s="173"/>
      <c r="J92" s="173"/>
      <c r="K92" s="173"/>
      <c r="L92" s="173"/>
      <c r="M92" s="173"/>
    </row>
    <row r="93" spans="4:13">
      <c r="D93" s="160"/>
      <c r="G93" s="173"/>
      <c r="H93" s="173"/>
      <c r="I93" s="173"/>
      <c r="J93" s="173"/>
      <c r="K93" s="173"/>
      <c r="L93" s="173"/>
      <c r="M93" s="173"/>
    </row>
    <row r="94" spans="4:13">
      <c r="D94" s="160"/>
      <c r="G94" s="173"/>
      <c r="H94" s="173"/>
      <c r="I94" s="173"/>
      <c r="J94" s="173"/>
      <c r="K94" s="173"/>
      <c r="L94" s="173"/>
      <c r="M94" s="173"/>
    </row>
    <row r="97" spans="2:14" hidden="1"/>
    <row r="98" spans="2:14" hidden="1"/>
    <row r="99" spans="2:14" ht="65" hidden="1" thickBot="1">
      <c r="B99" s="174" t="s">
        <v>83</v>
      </c>
      <c r="C99" s="174" t="s">
        <v>84</v>
      </c>
      <c r="D99" s="174" t="s">
        <v>85</v>
      </c>
      <c r="E99" s="174" t="s">
        <v>86</v>
      </c>
      <c r="F99" s="174" t="s">
        <v>69</v>
      </c>
      <c r="J99" s="160" t="s">
        <v>82</v>
      </c>
      <c r="K99" s="160" t="s">
        <v>81</v>
      </c>
      <c r="L99" s="160" t="s">
        <v>27</v>
      </c>
      <c r="M99" s="160" t="s">
        <v>26</v>
      </c>
      <c r="N99" s="159" t="s">
        <v>25</v>
      </c>
    </row>
    <row r="100" spans="2:14" hidden="1">
      <c r="B100" s="165">
        <f>'Sale Day'!A19</f>
        <v>7</v>
      </c>
      <c r="C100" s="159">
        <f>$B100*B100</f>
        <v>49</v>
      </c>
      <c r="D100" s="159">
        <f>B100^3</f>
        <v>343</v>
      </c>
      <c r="E100" s="159">
        <f>B100^4</f>
        <v>2401</v>
      </c>
      <c r="F100" s="168">
        <f>'Sale Day'!L19</f>
        <v>230.32779564032413</v>
      </c>
      <c r="G100" s="159">
        <f>B100</f>
        <v>7</v>
      </c>
      <c r="H100" s="159">
        <f t="shared" ref="H100:H131" si="6">$N$100+$M$100*B100+$L$100*C100+$K$100*D100+$J$100*E100</f>
        <v>241.29433057620423</v>
      </c>
      <c r="J100" s="160">
        <f>B165</f>
        <v>1.8473123668367418E-5</v>
      </c>
      <c r="K100" s="160">
        <f>C165</f>
        <v>-1.3238633705756724E-2</v>
      </c>
      <c r="L100" s="160">
        <f>D165</f>
        <v>3.6649135929519017</v>
      </c>
      <c r="M100" s="160">
        <f>E165</f>
        <v>41.61804080209938</v>
      </c>
      <c r="N100" s="159">
        <f>F165</f>
        <v>-225.11622370198785</v>
      </c>
    </row>
    <row r="101" spans="2:14" hidden="1">
      <c r="B101" s="165">
        <f>'Sale Day'!A20</f>
        <v>8</v>
      </c>
      <c r="C101" s="159">
        <f t="shared" ref="C101:C163" si="7">$B101*B101</f>
        <v>64</v>
      </c>
      <c r="D101" s="159">
        <f t="shared" ref="D101:D163" si="8">B101^3</f>
        <v>512</v>
      </c>
      <c r="E101" s="159">
        <f t="shared" ref="E101:E163" si="9">B101^4</f>
        <v>4096</v>
      </c>
      <c r="F101" s="168">
        <f>'Sale Day'!L20</f>
        <v>330.11664485016217</v>
      </c>
      <c r="G101" s="159">
        <f t="shared" ref="G101:G163" si="10">B101</f>
        <v>8</v>
      </c>
      <c r="H101" s="159">
        <f t="shared" si="6"/>
        <v>335.68005812092707</v>
      </c>
    </row>
    <row r="102" spans="2:14" hidden="1">
      <c r="B102" s="165">
        <f>'Sale Day'!A21</f>
        <v>9</v>
      </c>
      <c r="C102" s="159">
        <f t="shared" si="7"/>
        <v>81</v>
      </c>
      <c r="D102" s="159">
        <f t="shared" si="8"/>
        <v>729</v>
      </c>
      <c r="E102" s="159">
        <f t="shared" si="9"/>
        <v>6561</v>
      </c>
      <c r="F102" s="168">
        <f>'Sale Day'!L21</f>
        <v>435.74918246697331</v>
      </c>
      <c r="G102" s="159">
        <f t="shared" si="10"/>
        <v>9</v>
      </c>
      <c r="H102" s="159">
        <f t="shared" si="6"/>
        <v>436.77438273890209</v>
      </c>
    </row>
    <row r="103" spans="2:14" hidden="1">
      <c r="B103" s="165">
        <f>'Sale Day'!A22</f>
        <v>10</v>
      </c>
      <c r="C103" s="159">
        <f t="shared" si="7"/>
        <v>100</v>
      </c>
      <c r="D103" s="159">
        <f t="shared" si="8"/>
        <v>1000</v>
      </c>
      <c r="E103" s="159">
        <f t="shared" si="9"/>
        <v>10000</v>
      </c>
      <c r="F103" s="168">
        <f>'Sale Day'!L22</f>
        <v>547.14230197889617</v>
      </c>
      <c r="G103" s="159">
        <f t="shared" si="10"/>
        <v>10</v>
      </c>
      <c r="H103" s="159">
        <f t="shared" si="6"/>
        <v>544.50164114512313</v>
      </c>
    </row>
    <row r="104" spans="2:14" hidden="1">
      <c r="B104" s="165">
        <f>'Sale Day'!A23</f>
        <v>11</v>
      </c>
      <c r="C104" s="159">
        <f t="shared" si="7"/>
        <v>121</v>
      </c>
      <c r="D104" s="159">
        <f t="shared" si="8"/>
        <v>1331</v>
      </c>
      <c r="E104" s="159">
        <f t="shared" si="9"/>
        <v>14641</v>
      </c>
      <c r="F104" s="168">
        <f>'Sale Day'!L23</f>
        <v>664.21289687406909</v>
      </c>
      <c r="G104" s="159">
        <f t="shared" si="10"/>
        <v>11</v>
      </c>
      <c r="H104" s="159">
        <f t="shared" si="6"/>
        <v>658.78661340955182</v>
      </c>
    </row>
    <row r="105" spans="2:14" hidden="1">
      <c r="B105" s="165">
        <f>'Sale Day'!A24</f>
        <v>12</v>
      </c>
      <c r="C105" s="159">
        <f t="shared" si="7"/>
        <v>144</v>
      </c>
      <c r="D105" s="159">
        <f t="shared" si="8"/>
        <v>1728</v>
      </c>
      <c r="E105" s="159">
        <f t="shared" si="9"/>
        <v>20736</v>
      </c>
      <c r="F105" s="168">
        <f>'Sale Day'!L24</f>
        <v>786.87786064063062</v>
      </c>
      <c r="G105" s="159">
        <f t="shared" si="10"/>
        <v>12</v>
      </c>
      <c r="H105" s="159">
        <f t="shared" si="6"/>
        <v>779.55452295711825</v>
      </c>
    </row>
    <row r="106" spans="2:14" hidden="1">
      <c r="B106" s="165">
        <f>'Sale Day'!A25</f>
        <v>13</v>
      </c>
      <c r="C106" s="159">
        <f t="shared" si="7"/>
        <v>169</v>
      </c>
      <c r="D106" s="159">
        <f t="shared" si="8"/>
        <v>2197</v>
      </c>
      <c r="E106" s="159">
        <f t="shared" si="9"/>
        <v>28561</v>
      </c>
      <c r="F106" s="168">
        <f>'Sale Day'!L25</f>
        <v>915.05408676671937</v>
      </c>
      <c r="G106" s="159">
        <f t="shared" si="10"/>
        <v>13</v>
      </c>
      <c r="H106" s="159">
        <f t="shared" si="6"/>
        <v>906.73103656772014</v>
      </c>
    </row>
    <row r="107" spans="2:14" hidden="1">
      <c r="B107" s="165">
        <f>'Sale Day'!A26</f>
        <v>14</v>
      </c>
      <c r="C107" s="159">
        <f t="shared" si="7"/>
        <v>196</v>
      </c>
      <c r="D107" s="159">
        <f t="shared" si="8"/>
        <v>2744</v>
      </c>
      <c r="E107" s="159">
        <f t="shared" si="9"/>
        <v>38416</v>
      </c>
      <c r="F107" s="168">
        <f>'Sale Day'!L26</f>
        <v>1048.6584687404736</v>
      </c>
      <c r="G107" s="159">
        <f t="shared" si="10"/>
        <v>14</v>
      </c>
      <c r="H107" s="159">
        <f t="shared" si="6"/>
        <v>1040.2422643762241</v>
      </c>
    </row>
    <row r="108" spans="2:14" hidden="1">
      <c r="B108" s="165">
        <f>'Sale Day'!A27</f>
        <v>15</v>
      </c>
      <c r="C108" s="159">
        <f t="shared" si="7"/>
        <v>225</v>
      </c>
      <c r="D108" s="159">
        <f t="shared" si="8"/>
        <v>3375</v>
      </c>
      <c r="E108" s="159">
        <f t="shared" si="9"/>
        <v>50625</v>
      </c>
      <c r="F108" s="168">
        <f>'Sale Day'!L27</f>
        <v>1187.6079000500322</v>
      </c>
      <c r="G108" s="159">
        <f t="shared" si="10"/>
        <v>15</v>
      </c>
      <c r="H108" s="159">
        <f t="shared" si="6"/>
        <v>1180.0147598724629</v>
      </c>
    </row>
    <row r="109" spans="2:14" hidden="1">
      <c r="B109" s="165">
        <f>'Sale Day'!A28</f>
        <v>16</v>
      </c>
      <c r="C109" s="159">
        <f t="shared" si="7"/>
        <v>256</v>
      </c>
      <c r="D109" s="159">
        <f t="shared" si="8"/>
        <v>4096</v>
      </c>
      <c r="E109" s="159">
        <f t="shared" si="9"/>
        <v>65536</v>
      </c>
      <c r="F109" s="168">
        <f>'Sale Day'!L28</f>
        <v>1331.8192741835333</v>
      </c>
      <c r="G109" s="159">
        <f t="shared" si="10"/>
        <v>16</v>
      </c>
      <c r="H109" s="159">
        <f t="shared" si="6"/>
        <v>1325.9755199012397</v>
      </c>
    </row>
    <row r="110" spans="2:14" hidden="1">
      <c r="B110" s="165">
        <f>'Sale Day'!A29</f>
        <v>17</v>
      </c>
      <c r="C110" s="159">
        <f t="shared" si="7"/>
        <v>289</v>
      </c>
      <c r="D110" s="159">
        <f t="shared" si="8"/>
        <v>4913</v>
      </c>
      <c r="E110" s="159">
        <f t="shared" si="9"/>
        <v>83521</v>
      </c>
      <c r="F110" s="168">
        <f>'Sale Day'!L29</f>
        <v>1481.2094846291154</v>
      </c>
      <c r="G110" s="159">
        <f t="shared" si="10"/>
        <v>17</v>
      </c>
      <c r="H110" s="159">
        <f t="shared" si="6"/>
        <v>1478.0519846623242</v>
      </c>
    </row>
    <row r="111" spans="2:14" hidden="1">
      <c r="B111" s="165">
        <f>'Sale Day'!A30</f>
        <v>18</v>
      </c>
      <c r="C111" s="159">
        <f t="shared" si="7"/>
        <v>324</v>
      </c>
      <c r="D111" s="159">
        <f t="shared" si="8"/>
        <v>5832</v>
      </c>
      <c r="E111" s="159">
        <f t="shared" si="9"/>
        <v>104976</v>
      </c>
      <c r="F111" s="168">
        <f>'Sale Day'!L30</f>
        <v>1635.6954248749171</v>
      </c>
      <c r="G111" s="159">
        <f t="shared" si="10"/>
        <v>18</v>
      </c>
      <c r="H111" s="159">
        <f t="shared" si="6"/>
        <v>1636.1720377104546</v>
      </c>
    </row>
    <row r="112" spans="2:14" hidden="1">
      <c r="B112" s="165">
        <f>'Sale Day'!A31</f>
        <v>19</v>
      </c>
      <c r="C112" s="159">
        <f t="shared" si="7"/>
        <v>361</v>
      </c>
      <c r="D112" s="159">
        <f t="shared" si="8"/>
        <v>6859</v>
      </c>
      <c r="E112" s="159">
        <f t="shared" si="9"/>
        <v>130321</v>
      </c>
      <c r="F112" s="168">
        <f>'Sale Day'!L31</f>
        <v>1795.1939884090768</v>
      </c>
      <c r="G112" s="159">
        <f t="shared" si="10"/>
        <v>19</v>
      </c>
      <c r="H112" s="159">
        <f t="shared" si="6"/>
        <v>1800.2640059553369</v>
      </c>
    </row>
    <row r="113" spans="2:8" hidden="1">
      <c r="B113" s="165">
        <f>'Sale Day'!A32</f>
        <v>20</v>
      </c>
      <c r="C113" s="159">
        <f t="shared" si="7"/>
        <v>400</v>
      </c>
      <c r="D113" s="159">
        <f t="shared" si="8"/>
        <v>8000</v>
      </c>
      <c r="E113" s="159">
        <f t="shared" si="9"/>
        <v>160000</v>
      </c>
      <c r="F113" s="168">
        <f>'Sale Day'!L32</f>
        <v>1959.6220687197333</v>
      </c>
      <c r="G113" s="159">
        <f t="shared" si="10"/>
        <v>20</v>
      </c>
      <c r="H113" s="159">
        <f t="shared" si="6"/>
        <v>1970.2566596616457</v>
      </c>
    </row>
    <row r="114" spans="2:8" hidden="1">
      <c r="B114" s="165">
        <f>'Sale Day'!A33</f>
        <v>21</v>
      </c>
      <c r="C114" s="159">
        <f t="shared" si="7"/>
        <v>441</v>
      </c>
      <c r="D114" s="159">
        <f t="shared" si="8"/>
        <v>9261</v>
      </c>
      <c r="E114" s="159">
        <f t="shared" si="9"/>
        <v>194481</v>
      </c>
      <c r="F114" s="168">
        <f>'Sale Day'!L33</f>
        <v>2137.4166552459806</v>
      </c>
      <c r="G114" s="159">
        <f t="shared" si="10"/>
        <v>21</v>
      </c>
      <c r="H114" s="159">
        <f t="shared" si="6"/>
        <v>2146.0792124490226</v>
      </c>
    </row>
    <row r="115" spans="2:8" hidden="1">
      <c r="B115" s="165">
        <f>'Sale Day'!A34</f>
        <v>22</v>
      </c>
      <c r="C115" s="159">
        <f t="shared" si="7"/>
        <v>484</v>
      </c>
      <c r="D115" s="159">
        <f t="shared" si="8"/>
        <v>10648</v>
      </c>
      <c r="E115" s="159">
        <f t="shared" si="9"/>
        <v>234256</v>
      </c>
      <c r="F115" s="168">
        <f>'Sale Day'!L34</f>
        <v>2320.7509410993512</v>
      </c>
      <c r="G115" s="159">
        <f t="shared" si="10"/>
        <v>22</v>
      </c>
      <c r="H115" s="159">
        <f t="shared" si="6"/>
        <v>2327.6613212920784</v>
      </c>
    </row>
    <row r="116" spans="2:8" hidden="1">
      <c r="B116" s="165">
        <f>'Sale Day'!A35</f>
        <v>23</v>
      </c>
      <c r="C116" s="159">
        <f t="shared" si="7"/>
        <v>529</v>
      </c>
      <c r="D116" s="159">
        <f t="shared" si="8"/>
        <v>12167</v>
      </c>
      <c r="E116" s="159">
        <f t="shared" si="9"/>
        <v>279841</v>
      </c>
      <c r="F116" s="168">
        <f>'Sale Day'!L35</f>
        <v>2509.5695219386048</v>
      </c>
      <c r="G116" s="159">
        <f t="shared" si="10"/>
        <v>23</v>
      </c>
      <c r="H116" s="159">
        <f t="shared" si="6"/>
        <v>2514.9330865203915</v>
      </c>
    </row>
    <row r="117" spans="2:8" hidden="1">
      <c r="B117" s="165">
        <f>'Sale Day'!A36</f>
        <v>24</v>
      </c>
      <c r="C117" s="159">
        <f t="shared" si="7"/>
        <v>576</v>
      </c>
      <c r="D117" s="159">
        <f t="shared" si="8"/>
        <v>13824</v>
      </c>
      <c r="E117" s="159">
        <f t="shared" si="9"/>
        <v>331776</v>
      </c>
      <c r="F117" s="168">
        <f>'Sale Day'!L36</f>
        <v>2703.8169934225007</v>
      </c>
      <c r="G117" s="159">
        <f t="shared" si="10"/>
        <v>24</v>
      </c>
      <c r="H117" s="159">
        <f t="shared" si="6"/>
        <v>2707.8250518185082</v>
      </c>
    </row>
    <row r="118" spans="2:8" hidden="1">
      <c r="B118" s="165">
        <f>'Sale Day'!A37</f>
        <v>25</v>
      </c>
      <c r="C118" s="159">
        <f t="shared" si="7"/>
        <v>625</v>
      </c>
      <c r="D118" s="159">
        <f t="shared" si="8"/>
        <v>15625</v>
      </c>
      <c r="E118" s="159">
        <f t="shared" si="9"/>
        <v>390625</v>
      </c>
      <c r="F118" s="168">
        <f>'Sale Day'!L37</f>
        <v>2903.4379512097976</v>
      </c>
      <c r="G118" s="159">
        <f t="shared" si="10"/>
        <v>25</v>
      </c>
      <c r="H118" s="159">
        <f t="shared" si="6"/>
        <v>2906.2682042259426</v>
      </c>
    </row>
    <row r="119" spans="2:8" hidden="1">
      <c r="B119" s="165">
        <f>'Sale Day'!A38</f>
        <v>26</v>
      </c>
      <c r="C119" s="159">
        <f t="shared" si="7"/>
        <v>676</v>
      </c>
      <c r="D119" s="159">
        <f t="shared" si="8"/>
        <v>17576</v>
      </c>
      <c r="E119" s="159">
        <f t="shared" si="9"/>
        <v>456976</v>
      </c>
      <c r="F119" s="168">
        <f>'Sale Day'!L38</f>
        <v>3108.3769909592547</v>
      </c>
      <c r="G119" s="159">
        <f t="shared" si="10"/>
        <v>26</v>
      </c>
      <c r="H119" s="159">
        <f t="shared" si="6"/>
        <v>3110.1939741371775</v>
      </c>
    </row>
    <row r="120" spans="2:8" hidden="1">
      <c r="B120" s="165">
        <f>'Sale Day'!A39</f>
        <v>27</v>
      </c>
      <c r="C120" s="159">
        <f t="shared" si="7"/>
        <v>729</v>
      </c>
      <c r="D120" s="159">
        <f t="shared" si="8"/>
        <v>19683</v>
      </c>
      <c r="E120" s="159">
        <f t="shared" si="9"/>
        <v>531441</v>
      </c>
      <c r="F120" s="168">
        <f>'Sale Day'!L39</f>
        <v>3318.57870832963</v>
      </c>
      <c r="G120" s="159">
        <f t="shared" si="10"/>
        <v>27</v>
      </c>
      <c r="H120" s="159">
        <f t="shared" si="6"/>
        <v>3319.5342353016636</v>
      </c>
    </row>
    <row r="121" spans="2:8" hidden="1">
      <c r="B121" s="165">
        <f>'Sale Day'!A40</f>
        <v>28</v>
      </c>
      <c r="C121" s="159">
        <f t="shared" si="7"/>
        <v>784</v>
      </c>
      <c r="D121" s="159">
        <f t="shared" si="8"/>
        <v>21952</v>
      </c>
      <c r="E121" s="159">
        <f t="shared" si="9"/>
        <v>614656</v>
      </c>
      <c r="F121" s="168">
        <f>'Sale Day'!L40</f>
        <v>3533.987698979684</v>
      </c>
      <c r="G121" s="159">
        <f t="shared" si="10"/>
        <v>28</v>
      </c>
      <c r="H121" s="159">
        <f t="shared" si="6"/>
        <v>3534.2213048238182</v>
      </c>
    </row>
    <row r="122" spans="2:8" hidden="1">
      <c r="B122" s="165">
        <f>'Sale Day'!A41</f>
        <v>29</v>
      </c>
      <c r="C122" s="159">
        <f t="shared" si="7"/>
        <v>841</v>
      </c>
      <c r="D122" s="159">
        <f t="shared" si="8"/>
        <v>24389</v>
      </c>
      <c r="E122" s="159">
        <f t="shared" si="9"/>
        <v>707281</v>
      </c>
      <c r="F122" s="168">
        <f>'Sale Day'!L41</f>
        <v>3754.5485585681749</v>
      </c>
      <c r="G122" s="159">
        <f t="shared" si="10"/>
        <v>29</v>
      </c>
      <c r="H122" s="159">
        <f t="shared" si="6"/>
        <v>3754.1879431630296</v>
      </c>
    </row>
    <row r="123" spans="2:8" hidden="1">
      <c r="B123" s="165">
        <f>'Sale Day'!A42</f>
        <v>30</v>
      </c>
      <c r="C123" s="159">
        <f t="shared" si="7"/>
        <v>900</v>
      </c>
      <c r="D123" s="159">
        <f t="shared" si="8"/>
        <v>27000</v>
      </c>
      <c r="E123" s="159">
        <f t="shared" si="9"/>
        <v>810000</v>
      </c>
      <c r="F123" s="168">
        <f>'Sale Day'!L42</f>
        <v>3980.2058827538617</v>
      </c>
      <c r="G123" s="159">
        <f t="shared" si="10"/>
        <v>30</v>
      </c>
      <c r="H123" s="159">
        <f t="shared" si="6"/>
        <v>3979.3673541336511</v>
      </c>
    </row>
    <row r="124" spans="2:8" hidden="1">
      <c r="B124" s="165">
        <f>'Sale Day'!A43</f>
        <v>31</v>
      </c>
      <c r="C124" s="159">
        <f t="shared" si="7"/>
        <v>961</v>
      </c>
      <c r="D124" s="159">
        <f t="shared" si="8"/>
        <v>29791</v>
      </c>
      <c r="E124" s="159">
        <f t="shared" si="9"/>
        <v>923521</v>
      </c>
      <c r="F124" s="168">
        <f>'Sale Day'!L43</f>
        <v>4210.9042671955031</v>
      </c>
      <c r="G124" s="159">
        <f t="shared" si="10"/>
        <v>31</v>
      </c>
      <c r="H124" s="159">
        <f t="shared" si="6"/>
        <v>4209.6931849050061</v>
      </c>
    </row>
    <row r="125" spans="2:8" hidden="1">
      <c r="B125" s="165">
        <f>'Sale Day'!A44</f>
        <v>32</v>
      </c>
      <c r="C125" s="159">
        <f t="shared" si="7"/>
        <v>1024</v>
      </c>
      <c r="D125" s="159">
        <f t="shared" si="8"/>
        <v>32768</v>
      </c>
      <c r="E125" s="159">
        <f t="shared" si="9"/>
        <v>1048576</v>
      </c>
      <c r="F125" s="168">
        <f>'Sale Day'!L44</f>
        <v>4446.5883075518586</v>
      </c>
      <c r="G125" s="159">
        <f t="shared" si="10"/>
        <v>32</v>
      </c>
      <c r="H125" s="159">
        <f t="shared" si="6"/>
        <v>4445.0995260013851</v>
      </c>
    </row>
    <row r="126" spans="2:8" hidden="1">
      <c r="B126" s="165">
        <f>'Sale Day'!A45</f>
        <v>33</v>
      </c>
      <c r="C126" s="159">
        <f t="shared" si="7"/>
        <v>1089</v>
      </c>
      <c r="D126" s="159">
        <f t="shared" si="8"/>
        <v>35937</v>
      </c>
      <c r="E126" s="159">
        <f t="shared" si="9"/>
        <v>1185921</v>
      </c>
      <c r="F126" s="168">
        <f>'Sale Day'!L45</f>
        <v>4687.2025994816868</v>
      </c>
      <c r="G126" s="159">
        <f t="shared" si="10"/>
        <v>33</v>
      </c>
      <c r="H126" s="159">
        <f t="shared" si="6"/>
        <v>4685.5209113020464</v>
      </c>
    </row>
    <row r="127" spans="2:8" hidden="1">
      <c r="B127" s="165">
        <f>'Sale Day'!A46</f>
        <v>34</v>
      </c>
      <c r="C127" s="159">
        <f t="shared" si="7"/>
        <v>1156</v>
      </c>
      <c r="D127" s="159">
        <f t="shared" si="8"/>
        <v>39304</v>
      </c>
      <c r="E127" s="159">
        <f t="shared" si="9"/>
        <v>1336336</v>
      </c>
      <c r="F127" s="168">
        <f>'Sale Day'!L46</f>
        <v>4932.6917386437481</v>
      </c>
      <c r="G127" s="159">
        <f t="shared" si="10"/>
        <v>34</v>
      </c>
      <c r="H127" s="159">
        <f t="shared" si="6"/>
        <v>4930.8923180412185</v>
      </c>
    </row>
    <row r="128" spans="2:8" hidden="1">
      <c r="B128" s="165">
        <f>'Sale Day'!A47</f>
        <v>35</v>
      </c>
      <c r="C128" s="159">
        <f t="shared" si="7"/>
        <v>1225</v>
      </c>
      <c r="D128" s="159">
        <f t="shared" si="8"/>
        <v>42875</v>
      </c>
      <c r="E128" s="159">
        <f t="shared" si="9"/>
        <v>1500625</v>
      </c>
      <c r="F128" s="168">
        <f>'Sale Day'!L47</f>
        <v>5183.0003206967995</v>
      </c>
      <c r="G128" s="159">
        <f t="shared" si="10"/>
        <v>35</v>
      </c>
      <c r="H128" s="159">
        <f t="shared" si="6"/>
        <v>5181.1491668080944</v>
      </c>
    </row>
    <row r="129" spans="2:8" hidden="1">
      <c r="B129" s="165">
        <f>'Sale Day'!A48</f>
        <v>36</v>
      </c>
      <c r="C129" s="159">
        <f t="shared" si="7"/>
        <v>1296</v>
      </c>
      <c r="D129" s="159">
        <f t="shared" si="8"/>
        <v>46656</v>
      </c>
      <c r="E129" s="159">
        <f t="shared" si="9"/>
        <v>1679616</v>
      </c>
      <c r="F129" s="168">
        <f>'Sale Day'!L48</f>
        <v>5438.0729412996006</v>
      </c>
      <c r="G129" s="159">
        <f t="shared" si="10"/>
        <v>36</v>
      </c>
      <c r="H129" s="159">
        <f t="shared" si="6"/>
        <v>5436.2273215468376</v>
      </c>
    </row>
    <row r="130" spans="2:8" hidden="1">
      <c r="B130" s="165">
        <f>'Sale Day'!A49</f>
        <v>37</v>
      </c>
      <c r="C130" s="159">
        <f t="shared" si="7"/>
        <v>1369</v>
      </c>
      <c r="D130" s="159">
        <f t="shared" si="8"/>
        <v>50653</v>
      </c>
      <c r="E130" s="159">
        <f t="shared" si="9"/>
        <v>1874161</v>
      </c>
      <c r="F130" s="168">
        <f>'Sale Day'!L49</f>
        <v>5697.8541961109113</v>
      </c>
      <c r="G130" s="159">
        <f t="shared" si="10"/>
        <v>37</v>
      </c>
      <c r="H130" s="159">
        <f t="shared" si="6"/>
        <v>5696.0630895565782</v>
      </c>
    </row>
    <row r="131" spans="2:8" hidden="1">
      <c r="B131" s="165">
        <f>'Sale Day'!A50</f>
        <v>38</v>
      </c>
      <c r="C131" s="159">
        <f t="shared" si="7"/>
        <v>1444</v>
      </c>
      <c r="D131" s="159">
        <f t="shared" si="8"/>
        <v>54872</v>
      </c>
      <c r="E131" s="159">
        <f t="shared" si="9"/>
        <v>2085136</v>
      </c>
      <c r="F131" s="168">
        <f>'Sale Day'!L50</f>
        <v>5962.2886807894893</v>
      </c>
      <c r="G131" s="159">
        <f t="shared" si="10"/>
        <v>38</v>
      </c>
      <c r="H131" s="159">
        <f t="shared" si="6"/>
        <v>5960.5932214914174</v>
      </c>
    </row>
    <row r="132" spans="2:8" hidden="1">
      <c r="B132" s="165">
        <f>'Sale Day'!A51</f>
        <v>39</v>
      </c>
      <c r="C132" s="159">
        <f t="shared" si="7"/>
        <v>1521</v>
      </c>
      <c r="D132" s="159">
        <f t="shared" si="8"/>
        <v>59319</v>
      </c>
      <c r="E132" s="159">
        <f t="shared" si="9"/>
        <v>2313441</v>
      </c>
      <c r="F132" s="168">
        <f>'Sale Day'!L51</f>
        <v>6231.3209909940942</v>
      </c>
      <c r="G132" s="159">
        <f t="shared" si="10"/>
        <v>39</v>
      </c>
      <c r="H132" s="159">
        <f t="shared" ref="H132:H163" si="11">$N$100+$M$100*B132+$L$100*C132+$K$100*D132+$J$100*E132</f>
        <v>6229.7549113604191</v>
      </c>
    </row>
    <row r="133" spans="2:8" hidden="1">
      <c r="B133" s="165">
        <f>'Sale Day'!A52</f>
        <v>40</v>
      </c>
      <c r="C133" s="159">
        <f t="shared" si="7"/>
        <v>1600</v>
      </c>
      <c r="D133" s="159">
        <f t="shared" si="8"/>
        <v>64000</v>
      </c>
      <c r="E133" s="159">
        <f t="shared" si="9"/>
        <v>2560000</v>
      </c>
      <c r="F133" s="168">
        <f>'Sale Day'!L52</f>
        <v>6504.8957223834859</v>
      </c>
      <c r="G133" s="159">
        <f t="shared" si="10"/>
        <v>40</v>
      </c>
      <c r="H133" s="159">
        <f t="shared" si="11"/>
        <v>6503.4857965276206</v>
      </c>
    </row>
    <row r="134" spans="2:8" hidden="1">
      <c r="B134" s="165">
        <f>'Sale Day'!A53</f>
        <v>41</v>
      </c>
      <c r="C134" s="159">
        <f t="shared" si="7"/>
        <v>1681</v>
      </c>
      <c r="D134" s="159">
        <f t="shared" si="8"/>
        <v>68921</v>
      </c>
      <c r="E134" s="159">
        <f t="shared" si="9"/>
        <v>2825761</v>
      </c>
      <c r="F134" s="168">
        <f>'Sale Day'!L53</f>
        <v>6782.9574706164221</v>
      </c>
      <c r="G134" s="159">
        <f t="shared" si="10"/>
        <v>41</v>
      </c>
      <c r="H134" s="159">
        <f t="shared" si="11"/>
        <v>6781.7239577120235</v>
      </c>
    </row>
    <row r="135" spans="2:8" hidden="1">
      <c r="B135" s="165">
        <f>'Sale Day'!A54</f>
        <v>42</v>
      </c>
      <c r="C135" s="159">
        <f t="shared" si="7"/>
        <v>1764</v>
      </c>
      <c r="D135" s="159">
        <f t="shared" si="8"/>
        <v>74088</v>
      </c>
      <c r="E135" s="159">
        <f t="shared" si="9"/>
        <v>3111696</v>
      </c>
      <c r="F135" s="168">
        <f>'Sale Day'!L54</f>
        <v>7065.4508313516635</v>
      </c>
      <c r="G135" s="159">
        <f t="shared" si="10"/>
        <v>42</v>
      </c>
      <c r="H135" s="159">
        <f t="shared" si="11"/>
        <v>7064.4079189876011</v>
      </c>
    </row>
    <row r="136" spans="2:8" hidden="1">
      <c r="B136" s="165">
        <f>'Sale Day'!A55</f>
        <v>43</v>
      </c>
      <c r="C136" s="159">
        <f t="shared" si="7"/>
        <v>1849</v>
      </c>
      <c r="D136" s="159">
        <f t="shared" si="8"/>
        <v>79507</v>
      </c>
      <c r="E136" s="159">
        <f t="shared" si="9"/>
        <v>3418801</v>
      </c>
      <c r="F136" s="168">
        <f>'Sale Day'!L55</f>
        <v>7352.3204002479652</v>
      </c>
      <c r="G136" s="159">
        <f t="shared" si="10"/>
        <v>43</v>
      </c>
      <c r="H136" s="159">
        <f t="shared" si="11"/>
        <v>7351.47664778329</v>
      </c>
    </row>
    <row r="137" spans="2:8" hidden="1">
      <c r="B137" s="165">
        <f>'Sale Day'!A56</f>
        <v>44</v>
      </c>
      <c r="C137" s="159">
        <f t="shared" si="7"/>
        <v>1936</v>
      </c>
      <c r="D137" s="159">
        <f t="shared" si="8"/>
        <v>85184</v>
      </c>
      <c r="E137" s="159">
        <f t="shared" si="9"/>
        <v>3748096</v>
      </c>
      <c r="F137" s="168">
        <f>'Sale Day'!L56</f>
        <v>7643.5107729640913</v>
      </c>
      <c r="G137" s="159">
        <f t="shared" si="10"/>
        <v>44</v>
      </c>
      <c r="H137" s="159">
        <f t="shared" si="11"/>
        <v>7642.8695548829992</v>
      </c>
    </row>
    <row r="138" spans="2:8" hidden="1">
      <c r="B138" s="165">
        <f>'Sale Day'!A57</f>
        <v>45</v>
      </c>
      <c r="C138" s="159">
        <f t="shared" si="7"/>
        <v>2025</v>
      </c>
      <c r="D138" s="159">
        <f t="shared" si="8"/>
        <v>91125</v>
      </c>
      <c r="E138" s="159">
        <f t="shared" si="9"/>
        <v>4100625</v>
      </c>
      <c r="F138" s="168">
        <f>'Sale Day'!L57</f>
        <v>7938.9665451587962</v>
      </c>
      <c r="G138" s="159">
        <f t="shared" si="10"/>
        <v>45</v>
      </c>
      <c r="H138" s="159">
        <f t="shared" si="11"/>
        <v>7938.5264944256041</v>
      </c>
    </row>
    <row r="139" spans="2:8" hidden="1">
      <c r="B139" s="165">
        <f>'Sale Day'!A58</f>
        <v>46</v>
      </c>
      <c r="C139" s="159">
        <f t="shared" si="7"/>
        <v>2116</v>
      </c>
      <c r="D139" s="159">
        <f t="shared" si="8"/>
        <v>97336</v>
      </c>
      <c r="E139" s="159">
        <f t="shared" si="9"/>
        <v>4477456</v>
      </c>
      <c r="F139" s="168">
        <f>'Sale Day'!L58</f>
        <v>8238.6323124908413</v>
      </c>
      <c r="G139" s="159">
        <f t="shared" si="10"/>
        <v>46</v>
      </c>
      <c r="H139" s="159">
        <f t="shared" si="11"/>
        <v>8238.3877639049442</v>
      </c>
    </row>
    <row r="140" spans="2:8" hidden="1">
      <c r="B140" s="165">
        <f>'Sale Day'!A59</f>
        <v>47</v>
      </c>
      <c r="C140" s="159">
        <f t="shared" si="7"/>
        <v>2209</v>
      </c>
      <c r="D140" s="159">
        <f t="shared" si="8"/>
        <v>103823</v>
      </c>
      <c r="E140" s="159">
        <f t="shared" si="9"/>
        <v>4879681</v>
      </c>
      <c r="F140" s="168">
        <f>'Sale Day'!L59</f>
        <v>8542.4526706189863</v>
      </c>
      <c r="G140" s="159">
        <f t="shared" si="10"/>
        <v>47</v>
      </c>
      <c r="H140" s="159">
        <f t="shared" si="11"/>
        <v>8542.3941041698345</v>
      </c>
    </row>
    <row r="141" spans="2:8" hidden="1">
      <c r="B141" s="165">
        <f>'Sale Day'!A60</f>
        <v>48</v>
      </c>
      <c r="C141" s="159">
        <f t="shared" si="7"/>
        <v>2304</v>
      </c>
      <c r="D141" s="159">
        <f t="shared" si="8"/>
        <v>110592</v>
      </c>
      <c r="E141" s="159">
        <f t="shared" si="9"/>
        <v>5308416</v>
      </c>
      <c r="F141" s="168">
        <f>'Sale Day'!L60</f>
        <v>8850.3722152019891</v>
      </c>
      <c r="G141" s="159">
        <f t="shared" si="10"/>
        <v>48</v>
      </c>
      <c r="H141" s="159">
        <f t="shared" si="11"/>
        <v>8850.4866994240565</v>
      </c>
    </row>
    <row r="142" spans="2:8" hidden="1">
      <c r="B142" s="165">
        <f>'Sale Day'!A61</f>
        <v>49</v>
      </c>
      <c r="C142" s="159">
        <f t="shared" si="7"/>
        <v>2401</v>
      </c>
      <c r="D142" s="159">
        <f t="shared" si="8"/>
        <v>117649</v>
      </c>
      <c r="E142" s="159">
        <f t="shared" si="9"/>
        <v>5764801</v>
      </c>
      <c r="F142" s="168">
        <f>'Sale Day'!L61</f>
        <v>9162.3355418986084</v>
      </c>
      <c r="G142" s="159">
        <f t="shared" si="10"/>
        <v>49</v>
      </c>
      <c r="H142" s="159">
        <f t="shared" si="11"/>
        <v>9162.6071772263513</v>
      </c>
    </row>
    <row r="143" spans="2:8" hidden="1">
      <c r="B143" s="165">
        <f>'Sale Day'!A62</f>
        <v>50</v>
      </c>
      <c r="C143" s="159">
        <f t="shared" si="7"/>
        <v>2500</v>
      </c>
      <c r="D143" s="159">
        <f t="shared" si="8"/>
        <v>125000</v>
      </c>
      <c r="E143" s="159">
        <f t="shared" si="9"/>
        <v>6250000</v>
      </c>
      <c r="F143" s="168">
        <f>'Sale Day'!L62</f>
        <v>9478.2872463676031</v>
      </c>
      <c r="G143" s="159">
        <f t="shared" si="10"/>
        <v>50</v>
      </c>
      <c r="H143" s="159">
        <f t="shared" si="11"/>
        <v>9478.69760849044</v>
      </c>
    </row>
    <row r="144" spans="2:8" hidden="1">
      <c r="B144" s="165">
        <f>'Sale Day'!A63</f>
        <v>51</v>
      </c>
      <c r="C144" s="159">
        <f t="shared" si="7"/>
        <v>2601</v>
      </c>
      <c r="D144" s="159">
        <f t="shared" si="8"/>
        <v>132651</v>
      </c>
      <c r="E144" s="159">
        <f t="shared" si="9"/>
        <v>6765201</v>
      </c>
      <c r="F144" s="168">
        <f>'Sale Day'!L63</f>
        <v>9798.1719242677336</v>
      </c>
      <c r="G144" s="159">
        <f t="shared" si="10"/>
        <v>51</v>
      </c>
      <c r="H144" s="159">
        <f t="shared" si="11"/>
        <v>9798.7005074850058</v>
      </c>
    </row>
    <row r="145" spans="2:8" hidden="1">
      <c r="B145" s="165">
        <f>'Sale Day'!A64</f>
        <v>52</v>
      </c>
      <c r="C145" s="159">
        <f t="shared" si="7"/>
        <v>2704</v>
      </c>
      <c r="D145" s="159">
        <f t="shared" si="8"/>
        <v>140608</v>
      </c>
      <c r="E145" s="159">
        <f t="shared" si="9"/>
        <v>7311616</v>
      </c>
      <c r="F145" s="168">
        <f>'Sale Day'!L64</f>
        <v>10121.934171257759</v>
      </c>
      <c r="G145" s="159">
        <f t="shared" si="10"/>
        <v>52</v>
      </c>
      <c r="H145" s="159">
        <f t="shared" si="11"/>
        <v>10122.558831833696</v>
      </c>
    </row>
    <row r="146" spans="2:8" hidden="1">
      <c r="B146" s="165">
        <f>'Sale Day'!A65</f>
        <v>53</v>
      </c>
      <c r="C146" s="159">
        <f t="shared" si="7"/>
        <v>2809</v>
      </c>
      <c r="D146" s="159">
        <f t="shared" si="8"/>
        <v>148877</v>
      </c>
      <c r="E146" s="159">
        <f t="shared" si="9"/>
        <v>7890481</v>
      </c>
      <c r="F146" s="168">
        <f>'Sale Day'!L65</f>
        <v>10449.518582996434</v>
      </c>
      <c r="G146" s="159">
        <f t="shared" si="10"/>
        <v>53</v>
      </c>
      <c r="H146" s="159">
        <f t="shared" si="11"/>
        <v>10450.215982515132</v>
      </c>
    </row>
    <row r="147" spans="2:8" hidden="1">
      <c r="B147" s="165">
        <f>'Sale Day'!A66</f>
        <v>54</v>
      </c>
      <c r="C147" s="159">
        <f t="shared" si="7"/>
        <v>2916</v>
      </c>
      <c r="D147" s="159">
        <f t="shared" si="8"/>
        <v>157464</v>
      </c>
      <c r="E147" s="159">
        <f t="shared" si="9"/>
        <v>8503056</v>
      </c>
      <c r="F147" s="168">
        <f>'Sale Day'!L66</f>
        <v>10780.869755142523</v>
      </c>
      <c r="G147" s="159">
        <f t="shared" si="10"/>
        <v>54</v>
      </c>
      <c r="H147" s="159">
        <f t="shared" si="11"/>
        <v>10781.6158038629</v>
      </c>
    </row>
    <row r="148" spans="2:8" hidden="1">
      <c r="B148" s="165">
        <f>'Sale Day'!A67</f>
        <v>55</v>
      </c>
      <c r="C148" s="159">
        <f t="shared" si="7"/>
        <v>3025</v>
      </c>
      <c r="D148" s="159">
        <f t="shared" si="8"/>
        <v>166375</v>
      </c>
      <c r="E148" s="159">
        <f t="shared" si="9"/>
        <v>9150625</v>
      </c>
      <c r="F148" s="168">
        <f>'Sale Day'!L67</f>
        <v>11115.932283354783</v>
      </c>
      <c r="G148" s="159">
        <f t="shared" si="10"/>
        <v>55</v>
      </c>
      <c r="H148" s="159">
        <f t="shared" si="11"/>
        <v>11116.70258356556</v>
      </c>
    </row>
    <row r="149" spans="2:8" hidden="1">
      <c r="B149" s="165">
        <f>'Sale Day'!A68</f>
        <v>56</v>
      </c>
      <c r="C149" s="159">
        <f t="shared" si="7"/>
        <v>3136</v>
      </c>
      <c r="D149" s="159">
        <f t="shared" si="8"/>
        <v>175616</v>
      </c>
      <c r="E149" s="159">
        <f t="shared" si="9"/>
        <v>9834496</v>
      </c>
      <c r="F149" s="168">
        <f>'Sale Day'!L68</f>
        <v>11454.650763291973</v>
      </c>
      <c r="G149" s="159">
        <f t="shared" si="10"/>
        <v>56</v>
      </c>
      <c r="H149" s="159">
        <f t="shared" si="11"/>
        <v>11455.421052666634</v>
      </c>
    </row>
    <row r="150" spans="2:8" hidden="1">
      <c r="B150" s="165">
        <f>'Sale Day'!A69</f>
        <v>57</v>
      </c>
      <c r="C150" s="159">
        <f t="shared" si="7"/>
        <v>3249</v>
      </c>
      <c r="D150" s="159">
        <f t="shared" si="8"/>
        <v>185193</v>
      </c>
      <c r="E150" s="159">
        <f t="shared" si="9"/>
        <v>10556001</v>
      </c>
      <c r="F150" s="168">
        <f>'Sale Day'!L69</f>
        <v>11796.969790612851</v>
      </c>
      <c r="G150" s="159">
        <f t="shared" si="10"/>
        <v>57</v>
      </c>
      <c r="H150" s="159">
        <f t="shared" si="11"/>
        <v>11797.71638556461</v>
      </c>
    </row>
    <row r="151" spans="2:8" hidden="1">
      <c r="B151" s="165">
        <f>'Sale Day'!A70</f>
        <v>58</v>
      </c>
      <c r="C151" s="159">
        <f t="shared" si="7"/>
        <v>3364</v>
      </c>
      <c r="D151" s="159">
        <f t="shared" si="8"/>
        <v>195112</v>
      </c>
      <c r="E151" s="159">
        <f t="shared" si="9"/>
        <v>11316496</v>
      </c>
      <c r="F151" s="168">
        <f>'Sale Day'!L70</f>
        <v>12142.833960976177</v>
      </c>
      <c r="G151" s="159">
        <f t="shared" si="10"/>
        <v>58</v>
      </c>
      <c r="H151" s="159">
        <f t="shared" si="11"/>
        <v>12143.534200012953</v>
      </c>
    </row>
    <row r="152" spans="2:8" hidden="1">
      <c r="B152" s="165">
        <f>'Sale Day'!A71</f>
        <v>59</v>
      </c>
      <c r="C152" s="159">
        <f t="shared" si="7"/>
        <v>3481</v>
      </c>
      <c r="D152" s="159">
        <f t="shared" si="8"/>
        <v>205379</v>
      </c>
      <c r="E152" s="159">
        <f t="shared" si="9"/>
        <v>12117361</v>
      </c>
      <c r="F152" s="168">
        <f>'Sale Day'!L71</f>
        <v>12492.187870040711</v>
      </c>
      <c r="G152" s="159">
        <f t="shared" si="10"/>
        <v>59</v>
      </c>
      <c r="H152" s="159">
        <f t="shared" si="11"/>
        <v>12492.820557120087</v>
      </c>
    </row>
    <row r="153" spans="2:8" hidden="1">
      <c r="B153" s="165">
        <f>'Sale Day'!A72</f>
        <v>60</v>
      </c>
      <c r="C153" s="159">
        <f t="shared" si="7"/>
        <v>3600</v>
      </c>
      <c r="D153" s="159">
        <f t="shared" si="8"/>
        <v>216000</v>
      </c>
      <c r="E153" s="159">
        <f t="shared" si="9"/>
        <v>12960000</v>
      </c>
      <c r="F153" s="168">
        <f>'Sale Day'!L72</f>
        <v>12844.976113465211</v>
      </c>
      <c r="G153" s="159">
        <f t="shared" si="10"/>
        <v>60</v>
      </c>
      <c r="H153" s="159">
        <f t="shared" si="11"/>
        <v>12845.52196134941</v>
      </c>
    </row>
    <row r="154" spans="2:8" hidden="1">
      <c r="B154" s="165">
        <f>'Sale Day'!A73</f>
        <v>61</v>
      </c>
      <c r="C154" s="159">
        <f t="shared" si="7"/>
        <v>3721</v>
      </c>
      <c r="D154" s="159">
        <f t="shared" si="8"/>
        <v>226981</v>
      </c>
      <c r="E154" s="159">
        <f t="shared" si="9"/>
        <v>13845841</v>
      </c>
      <c r="F154" s="168">
        <f>'Sale Day'!L73</f>
        <v>13201.143286908435</v>
      </c>
      <c r="G154" s="159">
        <f t="shared" si="10"/>
        <v>61</v>
      </c>
      <c r="H154" s="159">
        <f t="shared" si="11"/>
        <v>13201.585360519286</v>
      </c>
    </row>
    <row r="155" spans="2:8" hidden="1">
      <c r="B155" s="165">
        <f>'Sale Day'!A74</f>
        <v>62</v>
      </c>
      <c r="C155" s="159">
        <f t="shared" si="7"/>
        <v>3844</v>
      </c>
      <c r="D155" s="159">
        <f t="shared" si="8"/>
        <v>238328</v>
      </c>
      <c r="E155" s="159">
        <f t="shared" si="9"/>
        <v>14776336</v>
      </c>
      <c r="F155" s="168">
        <f>'Sale Day'!L74</f>
        <v>13560.633986029141</v>
      </c>
      <c r="G155" s="159">
        <f t="shared" si="10"/>
        <v>62</v>
      </c>
      <c r="H155" s="159">
        <f t="shared" si="11"/>
        <v>13560.958145803042</v>
      </c>
    </row>
    <row r="156" spans="2:8" hidden="1">
      <c r="B156" s="165">
        <f>'Sale Day'!A75</f>
        <v>63</v>
      </c>
      <c r="C156" s="159">
        <f t="shared" si="7"/>
        <v>3969</v>
      </c>
      <c r="D156" s="159">
        <f t="shared" si="8"/>
        <v>250047</v>
      </c>
      <c r="E156" s="159">
        <f t="shared" si="9"/>
        <v>15752961</v>
      </c>
      <c r="F156" s="168">
        <f>'Sale Day'!L75</f>
        <v>13923.39280648609</v>
      </c>
      <c r="G156" s="159">
        <f t="shared" si="10"/>
        <v>63</v>
      </c>
      <c r="H156" s="159">
        <f t="shared" si="11"/>
        <v>13923.588151728991</v>
      </c>
    </row>
    <row r="157" spans="2:8" hidden="1">
      <c r="B157" s="165">
        <f>'Sale Day'!A76</f>
        <v>64</v>
      </c>
      <c r="C157" s="159">
        <f t="shared" si="7"/>
        <v>4096</v>
      </c>
      <c r="D157" s="159">
        <f t="shared" si="8"/>
        <v>262144</v>
      </c>
      <c r="E157" s="159">
        <f t="shared" si="9"/>
        <v>16777216</v>
      </c>
      <c r="F157" s="168">
        <f>'Sale Day'!L76</f>
        <v>14289.364343938045</v>
      </c>
      <c r="G157" s="159">
        <f t="shared" si="10"/>
        <v>64</v>
      </c>
      <c r="H157" s="159">
        <f t="shared" si="11"/>
        <v>14289.423656180383</v>
      </c>
    </row>
    <row r="158" spans="2:8" hidden="1">
      <c r="B158" s="165">
        <f>'Sale Day'!A77</f>
        <v>65</v>
      </c>
      <c r="C158" s="159">
        <f t="shared" si="7"/>
        <v>4225</v>
      </c>
      <c r="D158" s="159">
        <f t="shared" si="8"/>
        <v>274625</v>
      </c>
      <c r="E158" s="159">
        <f t="shared" si="9"/>
        <v>17850625</v>
      </c>
      <c r="F158" s="168">
        <f>'Sale Day'!L77</f>
        <v>14658.49319404376</v>
      </c>
      <c r="G158" s="159">
        <f t="shared" si="10"/>
        <v>65</v>
      </c>
      <c r="H158" s="159">
        <f t="shared" si="11"/>
        <v>14658.413380395465</v>
      </c>
    </row>
    <row r="159" spans="2:8" hidden="1">
      <c r="B159" s="165">
        <f>'Sale Day'!A78</f>
        <v>66</v>
      </c>
      <c r="C159" s="159">
        <f t="shared" si="7"/>
        <v>4356</v>
      </c>
      <c r="D159" s="159">
        <f t="shared" si="8"/>
        <v>287496</v>
      </c>
      <c r="E159" s="159">
        <f t="shared" si="9"/>
        <v>18974736</v>
      </c>
      <c r="F159" s="168">
        <f>'Sale Day'!L78</f>
        <v>15030.723952461991</v>
      </c>
      <c r="G159" s="159">
        <f t="shared" si="10"/>
        <v>66</v>
      </c>
      <c r="H159" s="159">
        <f t="shared" si="11"/>
        <v>15030.506488967443</v>
      </c>
    </row>
    <row r="160" spans="2:8" hidden="1">
      <c r="B160" s="165">
        <f>'Sale Day'!A79</f>
        <v>67</v>
      </c>
      <c r="C160" s="159">
        <f t="shared" si="7"/>
        <v>4489</v>
      </c>
      <c r="D160" s="159">
        <f t="shared" si="8"/>
        <v>300763</v>
      </c>
      <c r="E160" s="159">
        <f t="shared" si="9"/>
        <v>20151121</v>
      </c>
      <c r="F160" s="168">
        <f>'Sale Day'!L79</f>
        <v>15406.001214851503</v>
      </c>
      <c r="G160" s="159">
        <f t="shared" si="10"/>
        <v>67</v>
      </c>
      <c r="H160" s="159">
        <f t="shared" si="11"/>
        <v>15405.652589844483</v>
      </c>
    </row>
    <row r="161" spans="2:8" hidden="1">
      <c r="B161" s="165">
        <f>'Sale Day'!A80</f>
        <v>68</v>
      </c>
      <c r="C161" s="159">
        <f t="shared" si="7"/>
        <v>4624</v>
      </c>
      <c r="D161" s="159">
        <f t="shared" si="8"/>
        <v>314432</v>
      </c>
      <c r="E161" s="159">
        <f t="shared" si="9"/>
        <v>21381376</v>
      </c>
      <c r="F161" s="168">
        <f>'Sale Day'!L80</f>
        <v>15784.269576871053</v>
      </c>
      <c r="G161" s="159">
        <f t="shared" si="10"/>
        <v>68</v>
      </c>
      <c r="H161" s="159">
        <f t="shared" si="11"/>
        <v>15783.801734329729</v>
      </c>
    </row>
    <row r="162" spans="2:8" hidden="1">
      <c r="B162" s="165">
        <f>'Sale Day'!A81</f>
        <v>69</v>
      </c>
      <c r="C162" s="159">
        <f t="shared" si="7"/>
        <v>4761</v>
      </c>
      <c r="D162" s="159">
        <f t="shared" si="8"/>
        <v>328509</v>
      </c>
      <c r="E162" s="159">
        <f t="shared" si="9"/>
        <v>22667121</v>
      </c>
      <c r="F162" s="168">
        <f>'Sale Day'!L81</f>
        <v>16165.473634179398</v>
      </c>
      <c r="G162" s="159">
        <f t="shared" si="10"/>
        <v>69</v>
      </c>
      <c r="H162" s="159">
        <f t="shared" si="11"/>
        <v>16164.904417081287</v>
      </c>
    </row>
    <row r="163" spans="2:8" hidden="1">
      <c r="B163" s="165">
        <f>'Sale Day'!A82</f>
        <v>70</v>
      </c>
      <c r="C163" s="159">
        <f t="shared" si="7"/>
        <v>4900</v>
      </c>
      <c r="D163" s="159">
        <f t="shared" si="8"/>
        <v>343000</v>
      </c>
      <c r="E163" s="159">
        <f t="shared" si="9"/>
        <v>24010000</v>
      </c>
      <c r="F163" s="168">
        <f>'Sale Day'!L82</f>
        <v>16549.557982435304</v>
      </c>
      <c r="G163" s="159">
        <f t="shared" si="10"/>
        <v>70</v>
      </c>
      <c r="H163" s="159">
        <f t="shared" si="11"/>
        <v>16548.91157611223</v>
      </c>
    </row>
    <row r="164" spans="2:8" hidden="1"/>
    <row r="165" spans="2:8" hidden="1">
      <c r="B165" s="159">
        <f t="array" ref="B165:F165">LINEST(F100:F163,B100:E163)</f>
        <v>1.8473123668367418E-5</v>
      </c>
      <c r="C165" s="159">
        <v>-1.3238633705756724E-2</v>
      </c>
      <c r="D165" s="159">
        <v>3.6649135929519017</v>
      </c>
      <c r="E165" s="159">
        <v>41.61804080209938</v>
      </c>
      <c r="F165" s="159">
        <v>-225.11622370198785</v>
      </c>
    </row>
  </sheetData>
  <mergeCells count="2">
    <mergeCell ref="C1:L1"/>
    <mergeCell ref="C2:L2"/>
  </mergeCells>
  <phoneticPr fontId="29" type="noConversion"/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6BE1-01EC-F54F-9489-24C3687DD161}">
  <sheetPr transitionEvaluation="1"/>
  <dimension ref="A1:AJ94"/>
  <sheetViews>
    <sheetView showGridLines="0" topLeftCell="S9" zoomScale="187" zoomScaleNormal="187" workbookViewId="0">
      <selection activeCell="U9" sqref="U9"/>
    </sheetView>
  </sheetViews>
  <sheetFormatPr baseColWidth="10" defaultColWidth="9.6640625" defaultRowHeight="13"/>
  <cols>
    <col min="1" max="1" width="9.6640625" style="39"/>
    <col min="2" max="2" width="4.1640625" style="39" customWidth="1"/>
    <col min="3" max="3" width="19" style="16" customWidth="1"/>
    <col min="4" max="5" width="9.6640625" style="16"/>
    <col min="6" max="6" width="9.6640625" style="57"/>
    <col min="7" max="7" width="11.1640625" style="16" customWidth="1"/>
    <col min="8" max="14" width="9.6640625" style="16"/>
    <col min="25" max="25" width="9.6640625" style="70"/>
    <col min="27" max="27" width="9.6640625" style="70"/>
  </cols>
  <sheetData>
    <row r="1" spans="1:34">
      <c r="A1" s="17"/>
      <c r="B1" s="225" t="s">
        <v>47</v>
      </c>
      <c r="C1" s="225"/>
      <c r="D1" s="225"/>
      <c r="E1" s="225"/>
      <c r="F1" s="225"/>
      <c r="G1" s="225"/>
      <c r="H1" s="225"/>
      <c r="I1" s="18"/>
    </row>
    <row r="2" spans="1:34">
      <c r="A2" s="17"/>
      <c r="B2" s="225"/>
      <c r="C2" s="225"/>
      <c r="D2" s="225"/>
      <c r="E2" s="225"/>
      <c r="F2" s="225"/>
      <c r="G2" s="225"/>
      <c r="H2" s="225"/>
      <c r="I2" s="18"/>
    </row>
    <row r="3" spans="1:34" s="1" customFormat="1">
      <c r="A3" s="19"/>
      <c r="B3" s="225"/>
      <c r="C3" s="225"/>
      <c r="D3" s="225"/>
      <c r="E3" s="225"/>
      <c r="F3" s="225"/>
      <c r="G3" s="225"/>
      <c r="H3" s="225"/>
      <c r="I3" s="20"/>
      <c r="J3" s="21"/>
      <c r="K3" s="21"/>
      <c r="L3" s="21"/>
      <c r="M3" s="21"/>
      <c r="N3" s="21"/>
      <c r="O3" s="7"/>
      <c r="P3" s="7"/>
      <c r="Q3" s="7"/>
      <c r="R3" s="7"/>
      <c r="S3" s="7"/>
      <c r="T3" s="7"/>
      <c r="U3" s="7"/>
      <c r="Y3" s="70"/>
      <c r="AA3" s="70"/>
    </row>
    <row r="4" spans="1:34" s="1" customFormat="1">
      <c r="A4" s="19"/>
      <c r="B4" s="225"/>
      <c r="C4" s="225"/>
      <c r="D4" s="225"/>
      <c r="E4" s="225"/>
      <c r="F4" s="225"/>
      <c r="G4" s="225"/>
      <c r="H4" s="225"/>
      <c r="I4" s="20"/>
      <c r="J4" s="21"/>
      <c r="K4" s="21"/>
      <c r="L4" s="21"/>
      <c r="M4" s="21"/>
      <c r="N4" s="21"/>
      <c r="O4" s="7"/>
      <c r="P4" s="7"/>
      <c r="Q4" s="7"/>
      <c r="R4" s="7"/>
      <c r="S4" s="7"/>
      <c r="T4" s="7"/>
      <c r="U4" s="7"/>
      <c r="V4" s="2" t="s">
        <v>0</v>
      </c>
      <c r="W4" s="3">
        <f>$F$11+$F$12*F16-$F$13*F16*F16</f>
        <v>4.0013242732796162</v>
      </c>
      <c r="Y4" s="70"/>
      <c r="AA4" s="70"/>
    </row>
    <row r="5" spans="1:34" s="1" customFormat="1" ht="13" customHeight="1">
      <c r="A5" s="19"/>
      <c r="B5" s="225"/>
      <c r="C5" s="225"/>
      <c r="D5" s="225"/>
      <c r="E5" s="225"/>
      <c r="F5" s="225"/>
      <c r="G5" s="225"/>
      <c r="H5" s="225"/>
      <c r="I5" s="20"/>
      <c r="J5" s="21"/>
      <c r="K5" s="21"/>
      <c r="L5" s="21"/>
      <c r="M5" s="21"/>
      <c r="N5" s="21"/>
      <c r="O5" s="7"/>
      <c r="P5" s="7"/>
      <c r="Q5" s="7"/>
      <c r="R5" s="7"/>
      <c r="S5" s="7"/>
      <c r="T5" s="7"/>
      <c r="U5" s="7"/>
      <c r="V5" s="2" t="s">
        <v>1</v>
      </c>
      <c r="W5" s="3">
        <f>F15-W4</f>
        <v>-0.50132427327961615</v>
      </c>
      <c r="Y5" s="70"/>
      <c r="AA5" s="70"/>
    </row>
    <row r="6" spans="1:34" s="1" customFormat="1" ht="15" customHeight="1">
      <c r="A6" s="19"/>
      <c r="B6" s="225"/>
      <c r="C6" s="225"/>
      <c r="D6" s="225"/>
      <c r="E6" s="225"/>
      <c r="F6" s="225"/>
      <c r="G6" s="225"/>
      <c r="H6" s="225"/>
      <c r="I6" s="20"/>
      <c r="J6" s="21"/>
      <c r="K6" s="21"/>
      <c r="L6" s="21"/>
      <c r="M6" s="21"/>
      <c r="N6" s="21"/>
      <c r="O6" s="7"/>
      <c r="P6" s="7"/>
      <c r="Q6" s="7"/>
      <c r="R6" s="7"/>
      <c r="S6" s="7"/>
      <c r="T6" s="7"/>
      <c r="U6" s="7"/>
      <c r="V6" s="66" t="s">
        <v>4</v>
      </c>
      <c r="W6" s="4">
        <f>F11+W4/F15*W5</f>
        <v>-0.45625458904249983</v>
      </c>
      <c r="Y6" s="70"/>
      <c r="AA6" s="70"/>
    </row>
    <row r="7" spans="1:34" s="1" customFormat="1" ht="15" customHeight="1" thickBot="1">
      <c r="A7" s="19"/>
      <c r="B7" s="226"/>
      <c r="C7" s="226"/>
      <c r="D7" s="226"/>
      <c r="E7" s="226"/>
      <c r="F7" s="226"/>
      <c r="G7" s="226"/>
      <c r="H7" s="226"/>
      <c r="I7" s="20"/>
      <c r="J7" s="21"/>
      <c r="K7" s="21"/>
      <c r="L7" s="21"/>
      <c r="M7" s="21"/>
      <c r="N7" s="21"/>
      <c r="O7" s="7"/>
      <c r="P7" s="7"/>
      <c r="Q7" s="7"/>
      <c r="R7" s="7"/>
      <c r="S7" s="7"/>
      <c r="T7" s="7"/>
      <c r="U7" s="7"/>
      <c r="Y7" s="70"/>
      <c r="AA7" s="70"/>
    </row>
    <row r="8" spans="1:34" s="1" customFormat="1" ht="15" customHeight="1">
      <c r="A8" s="19"/>
      <c r="B8" s="16"/>
      <c r="C8" s="22"/>
      <c r="D8" s="23"/>
      <c r="E8" s="23"/>
      <c r="F8" s="51"/>
      <c r="G8" s="23"/>
      <c r="H8" s="23"/>
      <c r="I8" s="30"/>
      <c r="J8" s="31"/>
      <c r="K8" s="31"/>
      <c r="M8" s="31"/>
      <c r="N8" s="31"/>
      <c r="P8" s="8"/>
      <c r="Q8" s="8"/>
      <c r="R8" s="8"/>
      <c r="S8" s="8"/>
      <c r="T8" s="8"/>
      <c r="U8" s="8"/>
      <c r="Y8" s="71" t="s">
        <v>6</v>
      </c>
      <c r="AA8" s="71" t="s">
        <v>7</v>
      </c>
      <c r="AB8" s="2" t="s">
        <v>8</v>
      </c>
      <c r="AC8" s="5" t="s">
        <v>9</v>
      </c>
      <c r="AD8" s="5" t="s">
        <v>10</v>
      </c>
      <c r="AE8" s="5" t="s">
        <v>11</v>
      </c>
      <c r="AF8" s="5" t="s">
        <v>12</v>
      </c>
      <c r="AG8" s="5" t="s">
        <v>13</v>
      </c>
      <c r="AH8" s="5" t="s">
        <v>14</v>
      </c>
    </row>
    <row r="9" spans="1:34" s="1" customFormat="1" ht="15" customHeight="1" thickBot="1">
      <c r="A9" s="19"/>
      <c r="B9" s="24" t="s">
        <v>2</v>
      </c>
      <c r="C9" s="16"/>
      <c r="D9" s="25"/>
      <c r="E9" s="25"/>
      <c r="F9" s="220"/>
      <c r="G9" s="220"/>
      <c r="H9" s="220"/>
      <c r="I9" s="30"/>
      <c r="J9" s="31"/>
      <c r="K9" s="31"/>
      <c r="L9" s="25"/>
      <c r="M9" s="31"/>
      <c r="N9" s="31"/>
      <c r="P9" s="8"/>
      <c r="Q9" s="8"/>
      <c r="R9" s="8"/>
      <c r="S9" s="8"/>
      <c r="T9" s="8"/>
      <c r="U9" s="26" t="s">
        <v>3</v>
      </c>
      <c r="Y9" s="71" t="s">
        <v>16</v>
      </c>
      <c r="Z9" s="5" t="s">
        <v>17</v>
      </c>
      <c r="AA9" s="71" t="s">
        <v>18</v>
      </c>
    </row>
    <row r="10" spans="1:34" s="1" customFormat="1" ht="15" customHeight="1">
      <c r="A10" s="19"/>
      <c r="B10" s="25"/>
      <c r="C10" s="25"/>
      <c r="D10" s="25"/>
      <c r="E10" s="25"/>
      <c r="F10" s="49"/>
      <c r="G10" s="25"/>
      <c r="I10" s="30"/>
      <c r="J10" s="31"/>
      <c r="K10" s="31"/>
      <c r="M10" s="31"/>
      <c r="N10" s="31"/>
      <c r="P10" s="8"/>
      <c r="Q10" s="8"/>
      <c r="R10" s="8"/>
      <c r="S10" s="8"/>
      <c r="T10" s="8"/>
      <c r="U10" s="8"/>
      <c r="V10" s="4"/>
      <c r="Y10" s="72">
        <v>1.4693679385278594E-39</v>
      </c>
      <c r="Z10" s="3">
        <f t="shared" ref="Z10:Z40" si="0">$F$11+$F$12*Y10-$F$13*Y10*Y10</f>
        <v>0.11687712051692645</v>
      </c>
      <c r="AA10" s="73">
        <f t="shared" ref="AA10:AA40" si="1">$F$11+$F$12*Y10-$F$13*Y10*Y10+(Z10/$W$4)*$W$5</f>
        <v>0.10223363413481994</v>
      </c>
      <c r="AB10" s="3">
        <f t="shared" ref="AB10:AB19" si="2">Y10^2</f>
        <v>2.1590421387736112E-78</v>
      </c>
      <c r="AC10" s="3">
        <f t="shared" ref="AC10:AC19" si="3">Y10^2</f>
        <v>2.1590421387736112E-78</v>
      </c>
      <c r="AD10" s="3">
        <f t="shared" ref="AD10:AD19" si="4">AB10^2</f>
        <v>4.6614629570001292E-156</v>
      </c>
      <c r="AE10" s="3">
        <f t="shared" ref="AE10:AE19" si="5">AA10^2</f>
        <v>1.0451715948412221E-2</v>
      </c>
      <c r="AF10" s="3">
        <f t="shared" ref="AF10:AF19" si="6">Y10*AA10</f>
        <v>1.5021882423689177E-40</v>
      </c>
      <c r="AG10" s="3">
        <f t="shared" ref="AG10:AG19" si="7">AB10*AA10</f>
        <v>2.207267240970405E-79</v>
      </c>
      <c r="AH10" s="1">
        <f t="shared" ref="AH10:AH19" si="8">Y10^3</f>
        <v>3.1724272966445615E-117</v>
      </c>
    </row>
    <row r="11" spans="1:34" s="1" customFormat="1" ht="15" customHeight="1" thickBot="1">
      <c r="A11" s="19"/>
      <c r="B11" s="24" t="s">
        <v>28</v>
      </c>
      <c r="C11" s="25"/>
      <c r="D11" s="25"/>
      <c r="E11" s="67" t="s">
        <v>5</v>
      </c>
      <c r="F11" s="68">
        <f>'Instructiona &amp; Inputs'!F67</f>
        <v>0.11687712051692645</v>
      </c>
      <c r="G11" s="69">
        <f>AD53</f>
        <v>0.10223363413482645</v>
      </c>
      <c r="I11" s="32"/>
      <c r="J11" s="33"/>
      <c r="K11" s="33"/>
      <c r="M11" s="33"/>
      <c r="N11" s="33"/>
      <c r="P11" s="9"/>
      <c r="Q11" s="9"/>
      <c r="R11" s="9"/>
      <c r="S11" s="9"/>
      <c r="T11" s="9"/>
      <c r="U11" s="29">
        <f>AD53</f>
        <v>0.10223363413482645</v>
      </c>
      <c r="V11" s="4"/>
      <c r="Y11" s="72">
        <f t="shared" ref="Y11:Y19" si="9">Y10+0.5</f>
        <v>0.5</v>
      </c>
      <c r="Z11" s="3">
        <f t="shared" si="0"/>
        <v>0.43218098692461615</v>
      </c>
      <c r="AA11" s="73">
        <f t="shared" si="1"/>
        <v>0.37803320873975371</v>
      </c>
      <c r="AB11" s="3">
        <f t="shared" si="2"/>
        <v>0.25</v>
      </c>
      <c r="AC11" s="3">
        <f t="shared" si="3"/>
        <v>0.25</v>
      </c>
      <c r="AD11" s="3">
        <f t="shared" si="4"/>
        <v>6.25E-2</v>
      </c>
      <c r="AE11" s="3">
        <f t="shared" si="5"/>
        <v>0.14290910691007419</v>
      </c>
      <c r="AF11" s="3">
        <f t="shared" si="6"/>
        <v>0.18901660436987686</v>
      </c>
      <c r="AG11" s="3">
        <f t="shared" si="7"/>
        <v>9.4508302184938428E-2</v>
      </c>
      <c r="AH11" s="1">
        <f t="shared" si="8"/>
        <v>0.125</v>
      </c>
    </row>
    <row r="12" spans="1:34" s="1" customFormat="1" ht="15">
      <c r="A12" s="19"/>
      <c r="C12" s="221" t="s">
        <v>29</v>
      </c>
      <c r="D12" s="222"/>
      <c r="E12" s="67" t="s">
        <v>15</v>
      </c>
      <c r="F12" s="68">
        <f>'Instructiona &amp; Inputs'!E67</f>
        <v>0.64027785539671567</v>
      </c>
      <c r="G12" s="69">
        <f t="shared" ref="G12" si="10">AD54</f>
        <v>0.56005770610832073</v>
      </c>
      <c r="I12" s="32"/>
      <c r="J12" s="33"/>
      <c r="K12" s="33"/>
      <c r="M12" s="33"/>
      <c r="N12" s="33"/>
      <c r="P12" s="9"/>
      <c r="Q12" s="9"/>
      <c r="R12" s="9"/>
      <c r="S12" s="9"/>
      <c r="T12" s="9"/>
      <c r="U12" s="29"/>
      <c r="V12" s="4"/>
      <c r="Y12" s="72">
        <f>Y11+0.5</f>
        <v>1</v>
      </c>
      <c r="Z12" s="3">
        <f t="shared" si="0"/>
        <v>0.73781473075096971</v>
      </c>
      <c r="AA12" s="73">
        <f t="shared" si="1"/>
        <v>0.64537422644623954</v>
      </c>
      <c r="AB12" s="3">
        <f t="shared" si="2"/>
        <v>1</v>
      </c>
      <c r="AC12" s="3">
        <f t="shared" si="3"/>
        <v>1</v>
      </c>
      <c r="AD12" s="3">
        <f t="shared" si="4"/>
        <v>1</v>
      </c>
      <c r="AE12" s="3">
        <f t="shared" si="5"/>
        <v>0.41650789216108208</v>
      </c>
      <c r="AF12" s="3">
        <f t="shared" si="6"/>
        <v>0.64537422644623954</v>
      </c>
      <c r="AG12" s="3">
        <f t="shared" si="7"/>
        <v>0.64537422644623954</v>
      </c>
      <c r="AH12" s="1">
        <f t="shared" si="8"/>
        <v>1</v>
      </c>
    </row>
    <row r="13" spans="1:34" s="1" customFormat="1" ht="16" thickBot="1">
      <c r="A13" s="19"/>
      <c r="C13" s="223"/>
      <c r="D13" s="224"/>
      <c r="E13" s="67" t="s">
        <v>19</v>
      </c>
      <c r="F13" s="68">
        <f>'Instructiona &amp; Inputs'!D67*-1</f>
        <v>1.934024516267244E-2</v>
      </c>
      <c r="G13" s="69">
        <f>AD55*-1</f>
        <v>1.6917113796895977E-2</v>
      </c>
      <c r="I13" s="32"/>
      <c r="J13" s="33"/>
      <c r="K13" s="33"/>
      <c r="M13" s="33"/>
      <c r="N13" s="33"/>
      <c r="P13" s="9"/>
      <c r="Q13" s="9"/>
      <c r="R13" s="9"/>
      <c r="S13" s="9"/>
      <c r="T13" s="9"/>
      <c r="U13" s="29"/>
      <c r="V13" s="4"/>
      <c r="Y13" s="72">
        <f t="shared" si="9"/>
        <v>1.5</v>
      </c>
      <c r="Z13" s="3">
        <f t="shared" si="0"/>
        <v>1.0337783519959869</v>
      </c>
      <c r="AA13" s="73">
        <f t="shared" si="1"/>
        <v>0.90425668725427721</v>
      </c>
      <c r="AB13" s="3">
        <f t="shared" si="2"/>
        <v>2.25</v>
      </c>
      <c r="AC13" s="3">
        <f t="shared" si="3"/>
        <v>2.25</v>
      </c>
      <c r="AD13" s="3">
        <f t="shared" si="4"/>
        <v>5.0625</v>
      </c>
      <c r="AE13" s="3">
        <f t="shared" si="5"/>
        <v>0.81768015644407976</v>
      </c>
      <c r="AF13" s="3">
        <f t="shared" si="6"/>
        <v>1.3563850308814158</v>
      </c>
      <c r="AG13" s="3">
        <f t="shared" si="7"/>
        <v>2.0345775463221236</v>
      </c>
      <c r="AH13" s="1">
        <f t="shared" si="8"/>
        <v>3.375</v>
      </c>
    </row>
    <row r="14" spans="1:34" s="1" customFormat="1">
      <c r="A14" s="19"/>
      <c r="B14" s="25"/>
      <c r="C14" s="25"/>
      <c r="D14" s="25"/>
      <c r="E14" s="25"/>
      <c r="F14" s="49"/>
      <c r="G14" s="25"/>
      <c r="H14" s="25"/>
      <c r="I14" s="32"/>
      <c r="J14" s="33"/>
      <c r="K14" s="33"/>
      <c r="M14" s="33"/>
      <c r="N14" s="33"/>
      <c r="P14" s="9"/>
      <c r="Q14" s="9"/>
      <c r="R14" s="9"/>
      <c r="S14" s="9"/>
      <c r="T14" s="9"/>
      <c r="U14" s="29"/>
      <c r="V14" s="4"/>
      <c r="Y14" s="72">
        <f t="shared" si="9"/>
        <v>2</v>
      </c>
      <c r="Z14" s="3">
        <f t="shared" si="0"/>
        <v>1.3200718506596678</v>
      </c>
      <c r="AA14" s="73">
        <f t="shared" si="1"/>
        <v>1.1546805911638669</v>
      </c>
      <c r="AB14" s="3">
        <f t="shared" si="2"/>
        <v>4</v>
      </c>
      <c r="AC14" s="3">
        <f t="shared" si="3"/>
        <v>4</v>
      </c>
      <c r="AD14" s="3">
        <f t="shared" si="4"/>
        <v>16</v>
      </c>
      <c r="AE14" s="3">
        <f t="shared" si="5"/>
        <v>1.3332872676105372</v>
      </c>
      <c r="AF14" s="3">
        <f t="shared" si="6"/>
        <v>2.3093611823277338</v>
      </c>
      <c r="AG14" s="3">
        <f t="shared" si="7"/>
        <v>4.6187223646554676</v>
      </c>
      <c r="AH14" s="1">
        <f t="shared" si="8"/>
        <v>8</v>
      </c>
    </row>
    <row r="15" spans="1:34" s="1" customFormat="1">
      <c r="A15" s="19"/>
      <c r="B15" s="63" t="s">
        <v>30</v>
      </c>
      <c r="C15" s="63"/>
      <c r="D15" s="63"/>
      <c r="E15" s="63"/>
      <c r="F15" s="62">
        <f>'Instructiona &amp; Inputs'!E22</f>
        <v>3.5</v>
      </c>
      <c r="G15" s="63"/>
      <c r="H15" s="63" t="s">
        <v>32</v>
      </c>
      <c r="I15" s="32"/>
      <c r="J15" s="33"/>
      <c r="K15" s="33"/>
      <c r="M15" s="33"/>
      <c r="N15" s="33"/>
      <c r="P15" s="9"/>
      <c r="Q15" s="9"/>
      <c r="R15" s="9"/>
      <c r="S15" s="9"/>
      <c r="T15" s="9"/>
      <c r="U15" s="29"/>
      <c r="V15" s="4"/>
      <c r="Y15" s="72">
        <f t="shared" si="9"/>
        <v>2.5</v>
      </c>
      <c r="Z15" s="3">
        <f t="shared" si="0"/>
        <v>1.5966952267420127</v>
      </c>
      <c r="AA15" s="73">
        <f t="shared" si="1"/>
        <v>1.3966459381750087</v>
      </c>
      <c r="AB15" s="3">
        <f t="shared" si="2"/>
        <v>6.25</v>
      </c>
      <c r="AC15" s="3">
        <f t="shared" si="3"/>
        <v>6.25</v>
      </c>
      <c r="AD15" s="3">
        <f t="shared" si="4"/>
        <v>39.0625</v>
      </c>
      <c r="AE15" s="3">
        <f t="shared" si="5"/>
        <v>1.9506198766207503</v>
      </c>
      <c r="AF15" s="3">
        <f t="shared" si="6"/>
        <v>3.491614845437522</v>
      </c>
      <c r="AG15" s="3">
        <f t="shared" si="7"/>
        <v>8.7290371135938045</v>
      </c>
      <c r="AH15" s="1">
        <f t="shared" si="8"/>
        <v>15.625</v>
      </c>
    </row>
    <row r="16" spans="1:34" s="1" customFormat="1">
      <c r="B16" s="63" t="s">
        <v>31</v>
      </c>
      <c r="C16" s="63"/>
      <c r="D16" s="63"/>
      <c r="E16" s="63"/>
      <c r="F16" s="64">
        <f>'Instructiona &amp; Inputs'!D22</f>
        <v>8</v>
      </c>
      <c r="G16" s="63"/>
      <c r="H16" s="63" t="s">
        <v>32</v>
      </c>
      <c r="I16" s="32"/>
      <c r="J16" s="33"/>
      <c r="K16" s="33"/>
      <c r="M16" s="33"/>
      <c r="N16" s="33"/>
      <c r="P16" s="9"/>
      <c r="Q16" s="9"/>
      <c r="R16" s="9"/>
      <c r="S16" s="9"/>
      <c r="T16" s="9"/>
      <c r="U16" s="29"/>
      <c r="V16" s="4"/>
      <c r="Y16" s="72">
        <f t="shared" si="9"/>
        <v>3</v>
      </c>
      <c r="Z16" s="3">
        <f t="shared" si="0"/>
        <v>1.8636484802430215</v>
      </c>
      <c r="AA16" s="73">
        <f t="shared" si="1"/>
        <v>1.6301527282877026</v>
      </c>
      <c r="AB16" s="3">
        <f t="shared" si="2"/>
        <v>9</v>
      </c>
      <c r="AC16" s="3">
        <f t="shared" si="3"/>
        <v>9</v>
      </c>
      <c r="AD16" s="3">
        <f t="shared" si="4"/>
        <v>81</v>
      </c>
      <c r="AE16" s="3">
        <f t="shared" si="5"/>
        <v>2.6573979175438405</v>
      </c>
      <c r="AF16" s="3">
        <f t="shared" si="6"/>
        <v>4.8904581848631077</v>
      </c>
      <c r="AG16" s="3">
        <f t="shared" si="7"/>
        <v>14.671374554589324</v>
      </c>
      <c r="AH16" s="1">
        <f t="shared" si="8"/>
        <v>27</v>
      </c>
    </row>
    <row r="17" spans="1:36" s="1" customFormat="1">
      <c r="B17" s="34"/>
      <c r="C17" s="33"/>
      <c r="D17" s="33"/>
      <c r="E17" s="33"/>
      <c r="F17" s="60"/>
      <c r="G17" s="36"/>
      <c r="H17" s="33"/>
      <c r="I17" s="33"/>
      <c r="J17" s="33"/>
      <c r="K17" s="33"/>
      <c r="M17" s="33"/>
      <c r="N17" s="33"/>
      <c r="P17" s="9"/>
      <c r="Q17" s="9"/>
      <c r="R17" s="9"/>
      <c r="S17" s="9"/>
      <c r="T17" s="9"/>
      <c r="U17" s="29"/>
      <c r="V17" s="4"/>
      <c r="Y17" s="72">
        <f t="shared" si="9"/>
        <v>3.5</v>
      </c>
      <c r="Z17" s="3">
        <f t="shared" si="0"/>
        <v>2.1209316111626939</v>
      </c>
      <c r="AA17" s="73">
        <f t="shared" si="1"/>
        <v>1.8552009615019485</v>
      </c>
      <c r="AB17" s="3">
        <f t="shared" si="2"/>
        <v>12.25</v>
      </c>
      <c r="AC17" s="3">
        <f t="shared" si="3"/>
        <v>12.25</v>
      </c>
      <c r="AD17" s="3">
        <f t="shared" si="4"/>
        <v>150.0625</v>
      </c>
      <c r="AE17" s="3">
        <f t="shared" si="5"/>
        <v>3.4417706075577539</v>
      </c>
      <c r="AF17" s="3">
        <f t="shared" si="6"/>
        <v>6.4932033652568197</v>
      </c>
      <c r="AG17" s="3">
        <f t="shared" si="7"/>
        <v>22.72621177839887</v>
      </c>
      <c r="AH17" s="1">
        <f t="shared" si="8"/>
        <v>42.875</v>
      </c>
    </row>
    <row r="18" spans="1:36" s="1" customFormat="1">
      <c r="A18" s="19"/>
      <c r="B18"/>
      <c r="C18"/>
      <c r="D18"/>
      <c r="E18"/>
      <c r="F18" s="57"/>
      <c r="G18"/>
      <c r="H18"/>
      <c r="I18" s="33"/>
      <c r="J18" s="33"/>
      <c r="K18" s="33"/>
      <c r="M18" s="33"/>
      <c r="N18" s="33"/>
      <c r="P18" s="9"/>
      <c r="Q18" s="9"/>
      <c r="R18" s="9"/>
      <c r="S18" s="9"/>
      <c r="T18" s="9"/>
      <c r="U18" s="29"/>
      <c r="V18" s="4"/>
      <c r="Y18" s="72">
        <f>Y17+0.5</f>
        <v>4</v>
      </c>
      <c r="Z18" s="3">
        <f t="shared" si="0"/>
        <v>2.36854461950103</v>
      </c>
      <c r="AA18" s="73">
        <f t="shared" si="1"/>
        <v>2.0717906378177462</v>
      </c>
      <c r="AB18" s="3">
        <f t="shared" si="2"/>
        <v>16</v>
      </c>
      <c r="AC18" s="3">
        <f t="shared" si="3"/>
        <v>16</v>
      </c>
      <c r="AD18" s="3">
        <f t="shared" si="4"/>
        <v>256</v>
      </c>
      <c r="AE18" s="3">
        <f t="shared" si="5"/>
        <v>4.2923164469492638</v>
      </c>
      <c r="AF18" s="3">
        <f t="shared" si="6"/>
        <v>8.2871625512709848</v>
      </c>
      <c r="AG18" s="3">
        <f t="shared" si="7"/>
        <v>33.148650205083939</v>
      </c>
      <c r="AH18" s="1">
        <f t="shared" si="8"/>
        <v>64</v>
      </c>
    </row>
    <row r="19" spans="1:36" s="1" customFormat="1">
      <c r="A19" s="19"/>
      <c r="B19"/>
      <c r="C19"/>
      <c r="D19"/>
      <c r="E19"/>
      <c r="F19" s="57"/>
      <c r="G19"/>
      <c r="H19"/>
      <c r="I19" s="33"/>
      <c r="J19" s="33"/>
      <c r="K19" s="33"/>
      <c r="M19" s="33"/>
      <c r="N19" s="33"/>
      <c r="P19" s="9"/>
      <c r="Q19" s="9"/>
      <c r="R19" s="9"/>
      <c r="S19" s="9"/>
      <c r="T19" s="9"/>
      <c r="U19" s="29"/>
      <c r="V19" s="4"/>
      <c r="Y19" s="72">
        <f t="shared" si="9"/>
        <v>4.5</v>
      </c>
      <c r="Z19" s="3">
        <f t="shared" si="0"/>
        <v>2.6064875052580296</v>
      </c>
      <c r="AA19" s="73">
        <f t="shared" si="1"/>
        <v>2.2799217572350954</v>
      </c>
      <c r="AB19" s="3">
        <f t="shared" si="2"/>
        <v>20.25</v>
      </c>
      <c r="AC19" s="3">
        <f t="shared" si="3"/>
        <v>20.25</v>
      </c>
      <c r="AD19" s="3">
        <f t="shared" si="4"/>
        <v>410.0625</v>
      </c>
      <c r="AE19" s="3">
        <f t="shared" si="5"/>
        <v>5.1980432191139654</v>
      </c>
      <c r="AF19" s="3">
        <f t="shared" si="6"/>
        <v>10.259647907557929</v>
      </c>
      <c r="AG19" s="3">
        <f t="shared" si="7"/>
        <v>46.168415584010681</v>
      </c>
      <c r="AH19" s="1">
        <f t="shared" si="8"/>
        <v>91.125</v>
      </c>
    </row>
    <row r="20" spans="1:36" s="1" customFormat="1">
      <c r="A20" s="19"/>
      <c r="B20" s="33"/>
      <c r="C20" s="33"/>
      <c r="D20" s="33"/>
      <c r="E20" s="33"/>
      <c r="F20" s="74"/>
      <c r="G20" s="33"/>
      <c r="H20" s="33"/>
      <c r="I20" s="34"/>
      <c r="J20" s="34"/>
      <c r="K20" s="34"/>
      <c r="M20" s="34"/>
      <c r="N20" s="34"/>
      <c r="P20" s="10"/>
      <c r="Q20" s="10"/>
      <c r="R20" s="10"/>
      <c r="S20" s="10"/>
      <c r="T20" s="10"/>
      <c r="U20" s="29">
        <f>AD54</f>
        <v>0.56005770610832073</v>
      </c>
      <c r="V20" s="4"/>
      <c r="Y20" s="72">
        <f>Y19+0.5</f>
        <v>5</v>
      </c>
      <c r="Z20" s="3">
        <f t="shared" si="0"/>
        <v>2.8347602684336932</v>
      </c>
      <c r="AA20" s="73">
        <f t="shared" si="1"/>
        <v>2.4795943197539971</v>
      </c>
      <c r="AB20" s="3">
        <f>Y20^2</f>
        <v>25</v>
      </c>
      <c r="AC20" s="3">
        <f>Y20^2</f>
        <v>25</v>
      </c>
      <c r="AD20" s="3">
        <f>AB20^2</f>
        <v>625</v>
      </c>
      <c r="AE20" s="3">
        <f>AA20^2</f>
        <v>6.1483879905562882</v>
      </c>
      <c r="AF20" s="3">
        <f>Y20*AA20</f>
        <v>12.397971598769985</v>
      </c>
      <c r="AG20" s="3">
        <f>AB20*AA20</f>
        <v>61.989857993849931</v>
      </c>
      <c r="AH20" s="1">
        <f>Y20^3</f>
        <v>125</v>
      </c>
    </row>
    <row r="21" spans="1:36" s="1" customFormat="1">
      <c r="A21" s="19"/>
      <c r="B21" s="33"/>
      <c r="C21" s="33"/>
      <c r="D21" s="33"/>
      <c r="E21" s="33"/>
      <c r="F21" s="75"/>
      <c r="G21" s="74"/>
      <c r="H21" s="33"/>
      <c r="I21" s="33"/>
      <c r="J21" s="33"/>
      <c r="K21" s="33"/>
      <c r="L21" s="33"/>
      <c r="M21" s="33"/>
      <c r="N21" s="33"/>
      <c r="O21" s="9"/>
      <c r="P21" s="9"/>
      <c r="Q21" s="9"/>
      <c r="R21" s="9"/>
      <c r="S21" s="9"/>
      <c r="T21" s="9"/>
      <c r="U21" s="29">
        <f>AD55*-1</f>
        <v>1.6917113796895977E-2</v>
      </c>
      <c r="V21" s="4"/>
      <c r="Y21" s="72">
        <f>Y20+0.5</f>
        <v>5.5</v>
      </c>
      <c r="Z21" s="3">
        <f t="shared" si="0"/>
        <v>3.0533629090280212</v>
      </c>
      <c r="AA21" s="73">
        <f t="shared" si="1"/>
        <v>2.670808325374451</v>
      </c>
      <c r="AB21" s="3">
        <f>Y21^2</f>
        <v>30.25</v>
      </c>
      <c r="AC21" s="3">
        <f>Y21^2</f>
        <v>30.25</v>
      </c>
      <c r="AD21" s="3">
        <f>AB21^2</f>
        <v>915.0625</v>
      </c>
      <c r="AE21" s="3">
        <f>AA21^2</f>
        <v>7.1332171108894791</v>
      </c>
      <c r="AF21" s="3">
        <f>Y21*AA21</f>
        <v>14.68944578955948</v>
      </c>
      <c r="AG21" s="3">
        <f>AB21*AA21</f>
        <v>80.791951842577149</v>
      </c>
      <c r="AH21" s="1">
        <f>Y21^3</f>
        <v>166.375</v>
      </c>
    </row>
    <row r="22" spans="1:36" s="1" customFormat="1">
      <c r="A22" s="19"/>
      <c r="B22" s="33"/>
      <c r="C22" s="33"/>
      <c r="D22" s="33"/>
      <c r="E22" s="33"/>
      <c r="F22" s="74"/>
      <c r="G22" s="33"/>
      <c r="H22" s="33"/>
      <c r="I22" s="35"/>
      <c r="J22" s="35"/>
      <c r="K22" s="35"/>
      <c r="L22" s="35"/>
      <c r="M22" s="35"/>
      <c r="N22" s="35"/>
      <c r="O22" s="11"/>
      <c r="P22" s="11"/>
      <c r="Q22" s="11"/>
      <c r="R22" s="11"/>
      <c r="S22" s="11"/>
      <c r="T22" s="11"/>
      <c r="U22" s="11"/>
      <c r="Y22" s="72">
        <f>Y21+0.5</f>
        <v>6</v>
      </c>
      <c r="Z22" s="3">
        <f t="shared" si="0"/>
        <v>3.2622954270410123</v>
      </c>
      <c r="AA22" s="73">
        <f t="shared" si="1"/>
        <v>2.8535637740964566</v>
      </c>
      <c r="AB22" s="3">
        <f>Y22^2</f>
        <v>36</v>
      </c>
      <c r="AC22" s="3">
        <f>Y22^2</f>
        <v>36</v>
      </c>
      <c r="AD22" s="3">
        <f>AB22^2</f>
        <v>1296</v>
      </c>
      <c r="AE22" s="3">
        <f>AA22^2</f>
        <v>8.1428262128356135</v>
      </c>
      <c r="AF22" s="3">
        <f>Y22*AA22</f>
        <v>17.121382644578738</v>
      </c>
      <c r="AG22" s="3">
        <f>AB22*AA22</f>
        <v>102.72829586747244</v>
      </c>
      <c r="AH22" s="1">
        <f>Y22^3</f>
        <v>216</v>
      </c>
    </row>
    <row r="23" spans="1:36" s="1" customFormat="1">
      <c r="A23" s="21"/>
      <c r="B23" s="33"/>
      <c r="C23" s="33"/>
      <c r="D23" s="33"/>
      <c r="E23" s="33"/>
      <c r="F23" s="76"/>
      <c r="G23" s="33"/>
      <c r="H23" s="33"/>
      <c r="I23" s="36"/>
      <c r="J23" s="36"/>
      <c r="K23" s="36"/>
      <c r="L23" s="36"/>
      <c r="M23" s="36"/>
      <c r="N23" s="36"/>
      <c r="O23" s="12"/>
      <c r="P23" s="12"/>
      <c r="Q23" s="12"/>
      <c r="R23" s="12"/>
      <c r="S23" s="12"/>
      <c r="T23" s="12"/>
      <c r="U23" s="12"/>
      <c r="Y23" s="72">
        <f t="shared" ref="Y23:Y40" si="11">Y22+0.5</f>
        <v>6.5</v>
      </c>
      <c r="Z23" s="3">
        <f t="shared" si="0"/>
        <v>3.4615578224726677</v>
      </c>
      <c r="AA23" s="73">
        <f t="shared" si="1"/>
        <v>3.0278606659200147</v>
      </c>
      <c r="AB23" s="3">
        <f t="shared" ref="AB23:AB40" si="12">Y23^2</f>
        <v>42.25</v>
      </c>
      <c r="AC23" s="3">
        <f t="shared" ref="AC23:AC40" si="13">Y23^2</f>
        <v>42.25</v>
      </c>
      <c r="AD23" s="3">
        <f t="shared" ref="AD23:AD40" si="14">AB23^2</f>
        <v>1785.0625</v>
      </c>
      <c r="AE23" s="3">
        <f t="shared" ref="AE23:AE40" si="15">AA23^2</f>
        <v>9.1679402122255951</v>
      </c>
      <c r="AF23" s="3">
        <f t="shared" ref="AF23:AF40" si="16">Y23*AA23</f>
        <v>19.681094328480096</v>
      </c>
      <c r="AG23" s="3">
        <f t="shared" ref="AG23:AG40" si="17">AB23*AA23</f>
        <v>127.92711313512062</v>
      </c>
      <c r="AH23" s="1">
        <f t="shared" ref="AH23:AH40" si="18">Y23^3</f>
        <v>274.625</v>
      </c>
    </row>
    <row r="24" spans="1:36" s="1" customFormat="1">
      <c r="A24" s="21"/>
      <c r="B24" s="33"/>
      <c r="C24" s="33"/>
      <c r="D24" s="33"/>
      <c r="E24" s="33"/>
      <c r="F24" s="76"/>
      <c r="G24" s="34"/>
      <c r="H24" s="33"/>
      <c r="I24" s="37"/>
      <c r="J24" s="37"/>
      <c r="K24" s="37"/>
      <c r="L24" s="37"/>
      <c r="M24" s="37"/>
      <c r="N24" s="37"/>
      <c r="O24" s="13"/>
      <c r="P24" s="13"/>
      <c r="Q24" s="13"/>
      <c r="R24" s="13"/>
      <c r="S24" s="13"/>
      <c r="T24" s="13"/>
      <c r="U24" s="13"/>
      <c r="Y24" s="72">
        <f t="shared" si="11"/>
        <v>7</v>
      </c>
      <c r="Z24" s="3">
        <f t="shared" si="0"/>
        <v>3.6511500953229872</v>
      </c>
      <c r="AA24" s="73">
        <f t="shared" si="1"/>
        <v>3.1936990008451249</v>
      </c>
      <c r="AB24" s="3">
        <f t="shared" si="12"/>
        <v>49</v>
      </c>
      <c r="AC24" s="3">
        <f t="shared" si="13"/>
        <v>49</v>
      </c>
      <c r="AD24" s="3">
        <f t="shared" si="14"/>
        <v>2401</v>
      </c>
      <c r="AE24" s="3">
        <f t="shared" si="15"/>
        <v>10.199713307999149</v>
      </c>
      <c r="AF24" s="3">
        <f t="shared" si="16"/>
        <v>22.355893005915874</v>
      </c>
      <c r="AG24" s="3">
        <f t="shared" si="17"/>
        <v>156.49125104141112</v>
      </c>
      <c r="AH24" s="1">
        <f t="shared" si="18"/>
        <v>343</v>
      </c>
    </row>
    <row r="25" spans="1:36" s="1" customFormat="1">
      <c r="A25" s="21"/>
      <c r="B25" s="33"/>
      <c r="C25" s="33"/>
      <c r="D25" s="33"/>
      <c r="E25" s="33"/>
      <c r="F25" s="57"/>
      <c r="G25" s="33"/>
      <c r="H25"/>
      <c r="I25" s="21"/>
      <c r="J25" s="21"/>
      <c r="K25" s="21"/>
      <c r="L25" s="21"/>
      <c r="M25" s="21"/>
      <c r="N25" s="21"/>
      <c r="O25" s="7"/>
      <c r="P25" s="7"/>
      <c r="Q25" s="7"/>
      <c r="R25" s="7"/>
      <c r="S25" s="7"/>
      <c r="T25" s="7"/>
      <c r="U25" s="7"/>
      <c r="Y25" s="72">
        <f t="shared" si="11"/>
        <v>7.5</v>
      </c>
      <c r="Z25" s="3">
        <f t="shared" si="0"/>
        <v>3.8310722455919692</v>
      </c>
      <c r="AA25" s="73">
        <f t="shared" si="1"/>
        <v>3.351078778871786</v>
      </c>
      <c r="AB25" s="3">
        <f t="shared" si="12"/>
        <v>56.25</v>
      </c>
      <c r="AC25" s="3">
        <f t="shared" si="13"/>
        <v>56.25</v>
      </c>
      <c r="AD25" s="3">
        <f t="shared" si="14"/>
        <v>3164.0625</v>
      </c>
      <c r="AE25" s="3">
        <f t="shared" si="15"/>
        <v>11.22972898220482</v>
      </c>
      <c r="AF25" s="3">
        <f t="shared" si="16"/>
        <v>25.133090841538394</v>
      </c>
      <c r="AG25" s="3">
        <f t="shared" si="17"/>
        <v>188.49818131153796</v>
      </c>
      <c r="AH25" s="1">
        <f t="shared" si="18"/>
        <v>421.875</v>
      </c>
    </row>
    <row r="26" spans="1:36" s="1" customFormat="1">
      <c r="A26" s="21"/>
      <c r="B26" s="34"/>
      <c r="C26" s="33"/>
      <c r="D26" s="33"/>
      <c r="E26" s="33"/>
      <c r="F26" s="57"/>
      <c r="G26" s="59"/>
      <c r="H26"/>
      <c r="I26" s="21"/>
      <c r="J26" s="21"/>
      <c r="K26" s="21"/>
      <c r="L26" s="21"/>
      <c r="M26" s="21"/>
      <c r="N26" s="21"/>
      <c r="O26" s="7"/>
      <c r="P26" s="7"/>
      <c r="Q26" s="7"/>
      <c r="R26" s="7"/>
      <c r="S26" s="7"/>
      <c r="T26" s="7"/>
      <c r="U26" s="7"/>
      <c r="Y26" s="72">
        <f t="shared" si="11"/>
        <v>8</v>
      </c>
      <c r="Z26" s="3">
        <f t="shared" si="0"/>
        <v>4.0013242732796162</v>
      </c>
      <c r="AA26" s="73">
        <f t="shared" si="1"/>
        <v>3.5</v>
      </c>
      <c r="AB26" s="3">
        <f t="shared" si="12"/>
        <v>64</v>
      </c>
      <c r="AC26" s="3">
        <f t="shared" si="13"/>
        <v>64</v>
      </c>
      <c r="AD26" s="3">
        <f t="shared" si="14"/>
        <v>4096</v>
      </c>
      <c r="AE26" s="3">
        <f t="shared" si="15"/>
        <v>12.25</v>
      </c>
      <c r="AF26" s="3">
        <f t="shared" si="16"/>
        <v>28</v>
      </c>
      <c r="AG26" s="3">
        <f t="shared" si="17"/>
        <v>224</v>
      </c>
      <c r="AH26" s="1">
        <f t="shared" si="18"/>
        <v>512</v>
      </c>
      <c r="AJ26" s="1">
        <v>3.5</v>
      </c>
    </row>
    <row r="27" spans="1:36" s="1" customFormat="1">
      <c r="A27" s="21"/>
      <c r="B27" s="33"/>
      <c r="C27" s="33"/>
      <c r="D27" s="33"/>
      <c r="E27" s="33"/>
      <c r="F27" s="58"/>
      <c r="G27" s="59"/>
      <c r="H27" s="36"/>
      <c r="I27" s="21"/>
      <c r="J27" s="21"/>
      <c r="K27" s="21"/>
      <c r="L27" s="21"/>
      <c r="M27" s="21"/>
      <c r="N27" s="21"/>
      <c r="O27" s="7"/>
      <c r="P27" s="7"/>
      <c r="Q27" s="7"/>
      <c r="R27" s="7"/>
      <c r="S27" s="7"/>
      <c r="T27" s="7"/>
      <c r="U27" s="7"/>
      <c r="Y27" s="72">
        <f t="shared" si="11"/>
        <v>8.5</v>
      </c>
      <c r="Z27" s="3">
        <f t="shared" si="0"/>
        <v>4.1619061783859266</v>
      </c>
      <c r="AA27" s="73">
        <f t="shared" si="1"/>
        <v>3.6404626642297657</v>
      </c>
      <c r="AB27" s="3">
        <f t="shared" si="12"/>
        <v>72.25</v>
      </c>
      <c r="AC27" s="3">
        <f t="shared" si="13"/>
        <v>72.25</v>
      </c>
      <c r="AD27" s="3">
        <f t="shared" si="14"/>
        <v>5220.0625</v>
      </c>
      <c r="AE27" s="3">
        <f t="shared" si="15"/>
        <v>13.252968409650883</v>
      </c>
      <c r="AF27" s="3">
        <f t="shared" si="16"/>
        <v>30.943932645953009</v>
      </c>
      <c r="AG27" s="3">
        <f t="shared" si="17"/>
        <v>263.02342749060057</v>
      </c>
      <c r="AH27" s="1">
        <f t="shared" si="18"/>
        <v>614.125</v>
      </c>
    </row>
    <row r="28" spans="1:36" s="1" customFormat="1">
      <c r="A28" s="21"/>
      <c r="B28" s="34"/>
      <c r="C28" s="33"/>
      <c r="D28" s="33"/>
      <c r="E28" s="33"/>
      <c r="F28" s="57"/>
      <c r="G28" s="59"/>
      <c r="H28"/>
      <c r="I28" s="21"/>
      <c r="J28" s="21"/>
      <c r="K28" s="21"/>
      <c r="L28" s="21"/>
      <c r="M28" s="21"/>
      <c r="N28" s="21"/>
      <c r="O28" s="7"/>
      <c r="P28" s="7"/>
      <c r="Q28" s="7"/>
      <c r="R28" s="7"/>
      <c r="S28" s="7"/>
      <c r="T28" s="7"/>
      <c r="U28" s="7"/>
      <c r="Y28" s="72">
        <f t="shared" si="11"/>
        <v>9</v>
      </c>
      <c r="Z28" s="3">
        <f t="shared" si="0"/>
        <v>4.3128179609109001</v>
      </c>
      <c r="AA28" s="73">
        <f t="shared" si="1"/>
        <v>3.7724667715610831</v>
      </c>
      <c r="AB28" s="3">
        <f t="shared" si="12"/>
        <v>81</v>
      </c>
      <c r="AC28" s="3">
        <f t="shared" si="13"/>
        <v>81</v>
      </c>
      <c r="AD28" s="3">
        <f t="shared" si="14"/>
        <v>6561</v>
      </c>
      <c r="AE28" s="3">
        <f t="shared" si="15"/>
        <v>14.231505542532501</v>
      </c>
      <c r="AF28" s="3">
        <f t="shared" si="16"/>
        <v>33.95220094404975</v>
      </c>
      <c r="AG28" s="3">
        <f t="shared" si="17"/>
        <v>305.56980849644771</v>
      </c>
      <c r="AH28" s="1">
        <f t="shared" si="18"/>
        <v>729</v>
      </c>
    </row>
    <row r="29" spans="1:36" s="1" customFormat="1">
      <c r="A29" s="61"/>
      <c r="B29" s="33"/>
      <c r="C29" s="33"/>
      <c r="D29" s="33"/>
      <c r="E29" s="33"/>
      <c r="F29" s="60"/>
      <c r="G29"/>
      <c r="H29" s="36"/>
      <c r="I29" s="21"/>
      <c r="J29" s="21"/>
      <c r="K29" s="21"/>
      <c r="L29" s="21"/>
      <c r="M29" s="21"/>
      <c r="N29" s="21"/>
      <c r="O29" s="7"/>
      <c r="P29" s="7"/>
      <c r="Q29" s="7"/>
      <c r="R29" s="7"/>
      <c r="S29" s="7"/>
      <c r="T29" s="7"/>
      <c r="U29" s="7"/>
      <c r="Y29" s="72">
        <f t="shared" si="11"/>
        <v>9.5</v>
      </c>
      <c r="Z29" s="3">
        <f t="shared" si="0"/>
        <v>4.4540596208545384</v>
      </c>
      <c r="AA29" s="73">
        <f t="shared" si="1"/>
        <v>3.8960123219939531</v>
      </c>
      <c r="AB29" s="3">
        <f t="shared" si="12"/>
        <v>90.25</v>
      </c>
      <c r="AC29" s="3">
        <f t="shared" si="13"/>
        <v>90.25</v>
      </c>
      <c r="AD29" s="3">
        <f t="shared" si="14"/>
        <v>8145.0625</v>
      </c>
      <c r="AE29" s="3">
        <f t="shared" si="15"/>
        <v>15.178912013128715</v>
      </c>
      <c r="AF29" s="3">
        <f t="shared" si="16"/>
        <v>37.012117058942557</v>
      </c>
      <c r="AG29" s="3">
        <f t="shared" si="17"/>
        <v>351.61511205995424</v>
      </c>
      <c r="AH29" s="1">
        <f t="shared" si="18"/>
        <v>857.375</v>
      </c>
    </row>
    <row r="30" spans="1:36" s="1" customFormat="1">
      <c r="A30" s="61"/>
      <c r="B30"/>
      <c r="C30"/>
      <c r="D30"/>
      <c r="E30"/>
      <c r="F30" s="57"/>
      <c r="G30"/>
      <c r="H30"/>
      <c r="I30" s="21"/>
      <c r="J30" s="21"/>
      <c r="K30" s="21"/>
      <c r="L30" s="21"/>
      <c r="M30" s="21"/>
      <c r="N30" s="21"/>
      <c r="O30" s="7"/>
      <c r="P30" s="7"/>
      <c r="Q30" s="7"/>
      <c r="R30" s="7"/>
      <c r="S30" s="7"/>
      <c r="T30" s="7"/>
      <c r="U30" s="7"/>
      <c r="Y30" s="72">
        <f t="shared" si="11"/>
        <v>10</v>
      </c>
      <c r="Z30" s="3">
        <f t="shared" si="0"/>
        <v>4.585631158216839</v>
      </c>
      <c r="AA30" s="73">
        <f t="shared" si="1"/>
        <v>4.0110993155283738</v>
      </c>
      <c r="AB30" s="3">
        <f t="shared" si="12"/>
        <v>100</v>
      </c>
      <c r="AC30" s="3">
        <f t="shared" si="13"/>
        <v>100</v>
      </c>
      <c r="AD30" s="6">
        <f t="shared" si="14"/>
        <v>10000</v>
      </c>
      <c r="AE30" s="3">
        <f t="shared" si="15"/>
        <v>16.088917719032189</v>
      </c>
      <c r="AF30" s="3">
        <f t="shared" si="16"/>
        <v>40.110993155283737</v>
      </c>
      <c r="AG30" s="3">
        <f t="shared" si="17"/>
        <v>401.10993155283739</v>
      </c>
      <c r="AH30" s="1">
        <f t="shared" si="18"/>
        <v>1000</v>
      </c>
    </row>
    <row r="31" spans="1:36" s="1" customFormat="1">
      <c r="A31" s="38"/>
      <c r="B31" s="61"/>
      <c r="C31" s="61"/>
      <c r="D31" s="61"/>
      <c r="E31" s="16"/>
      <c r="F31" s="57"/>
      <c r="G31" s="16"/>
      <c r="H31" s="16"/>
      <c r="I31" s="23"/>
      <c r="J31" s="21"/>
      <c r="K31" s="21"/>
      <c r="L31" s="21"/>
      <c r="M31" s="21"/>
      <c r="N31" s="21"/>
      <c r="O31" s="7"/>
      <c r="P31" s="7"/>
      <c r="Q31" s="7"/>
      <c r="R31" s="7"/>
      <c r="S31" s="7"/>
      <c r="T31" s="7"/>
      <c r="U31" s="7"/>
      <c r="Y31" s="72">
        <f t="shared" si="11"/>
        <v>10.5</v>
      </c>
      <c r="Z31" s="3">
        <f t="shared" si="0"/>
        <v>4.7075325729978044</v>
      </c>
      <c r="AA31" s="73">
        <f t="shared" si="1"/>
        <v>4.1177277521643472</v>
      </c>
      <c r="AB31" s="3">
        <f t="shared" si="12"/>
        <v>110.25</v>
      </c>
      <c r="AC31" s="3">
        <f t="shared" si="13"/>
        <v>110.25</v>
      </c>
      <c r="AD31" s="6">
        <f t="shared" si="14"/>
        <v>12155.0625</v>
      </c>
      <c r="AE31" s="3">
        <f t="shared" si="15"/>
        <v>16.955681840944447</v>
      </c>
      <c r="AF31" s="3">
        <f t="shared" si="16"/>
        <v>43.236141397725646</v>
      </c>
      <c r="AG31" s="3">
        <f t="shared" si="17"/>
        <v>453.97948467611928</v>
      </c>
      <c r="AH31" s="1">
        <f t="shared" si="18"/>
        <v>1157.625</v>
      </c>
    </row>
    <row r="32" spans="1:36" s="1" customFormat="1">
      <c r="A32" s="38"/>
      <c r="B32" s="61"/>
      <c r="C32" s="61"/>
      <c r="D32" s="61"/>
      <c r="E32" s="16"/>
      <c r="F32" s="57"/>
      <c r="G32" s="16"/>
      <c r="H32" s="16"/>
      <c r="I32" s="23"/>
      <c r="J32" s="21"/>
      <c r="K32" s="21"/>
      <c r="L32" s="21"/>
      <c r="M32" s="21"/>
      <c r="N32" s="21"/>
      <c r="O32" s="7"/>
      <c r="P32" s="7"/>
      <c r="Q32" s="7"/>
      <c r="R32" s="7"/>
      <c r="S32" s="7"/>
      <c r="T32" s="7"/>
      <c r="U32" s="7"/>
      <c r="Y32" s="72">
        <f t="shared" si="11"/>
        <v>11</v>
      </c>
      <c r="Z32" s="3">
        <f t="shared" si="0"/>
        <v>4.8197638651974337</v>
      </c>
      <c r="AA32" s="73">
        <f t="shared" si="1"/>
        <v>4.2158976319018731</v>
      </c>
      <c r="AB32" s="3">
        <f t="shared" si="12"/>
        <v>121</v>
      </c>
      <c r="AC32" s="3">
        <f t="shared" si="13"/>
        <v>121</v>
      </c>
      <c r="AD32" s="6">
        <f t="shared" si="14"/>
        <v>14641</v>
      </c>
      <c r="AE32" s="3">
        <f t="shared" si="15"/>
        <v>17.773792842675821</v>
      </c>
      <c r="AF32" s="3">
        <f t="shared" si="16"/>
        <v>46.374873950920602</v>
      </c>
      <c r="AG32" s="3">
        <f t="shared" si="17"/>
        <v>510.12361346012665</v>
      </c>
      <c r="AH32" s="1">
        <f t="shared" si="18"/>
        <v>1331</v>
      </c>
    </row>
    <row r="33" spans="1:34" s="1" customFormat="1">
      <c r="A33" s="38"/>
      <c r="B33" s="38"/>
      <c r="C33" s="38"/>
      <c r="D33" s="38"/>
      <c r="E33" s="39"/>
      <c r="F33" s="5"/>
      <c r="G33" s="39"/>
      <c r="H33" s="39"/>
      <c r="I33" s="23"/>
      <c r="J33" s="21"/>
      <c r="K33" s="21"/>
      <c r="L33" s="21"/>
      <c r="M33" s="21"/>
      <c r="N33" s="21"/>
      <c r="O33" s="7"/>
      <c r="P33" s="7"/>
      <c r="Q33" s="7"/>
      <c r="R33" s="7"/>
      <c r="S33" s="7"/>
      <c r="T33" s="7"/>
      <c r="U33" s="7"/>
      <c r="Y33" s="72">
        <f t="shared" si="11"/>
        <v>11.5</v>
      </c>
      <c r="Z33" s="3">
        <f t="shared" si="0"/>
        <v>4.9223250348157261</v>
      </c>
      <c r="AA33" s="73">
        <f t="shared" si="1"/>
        <v>4.3056089547409506</v>
      </c>
      <c r="AB33" s="3">
        <f t="shared" si="12"/>
        <v>132.25</v>
      </c>
      <c r="AC33" s="3">
        <f t="shared" si="13"/>
        <v>132.25</v>
      </c>
      <c r="AD33" s="6">
        <f t="shared" si="14"/>
        <v>17490.0625</v>
      </c>
      <c r="AE33" s="3">
        <f t="shared" si="15"/>
        <v>18.538268471145461</v>
      </c>
      <c r="AF33" s="3">
        <f t="shared" si="16"/>
        <v>49.514502979520934</v>
      </c>
      <c r="AG33" s="3">
        <f t="shared" si="17"/>
        <v>569.41678426449073</v>
      </c>
      <c r="AH33" s="1">
        <f t="shared" si="18"/>
        <v>1520.875</v>
      </c>
    </row>
    <row r="34" spans="1:34" s="1" customFormat="1">
      <c r="A34" s="38"/>
      <c r="B34" s="38"/>
      <c r="C34" s="38"/>
      <c r="D34" s="38"/>
      <c r="E34" s="39"/>
      <c r="F34" s="5"/>
      <c r="G34" s="39"/>
      <c r="H34" s="39"/>
      <c r="I34" s="23"/>
      <c r="J34" s="21"/>
      <c r="K34" s="21"/>
      <c r="L34" s="21"/>
      <c r="M34" s="21"/>
      <c r="N34" s="21"/>
      <c r="O34" s="7"/>
      <c r="P34" s="7"/>
      <c r="Q34" s="7"/>
      <c r="R34" s="7"/>
      <c r="S34" s="7"/>
      <c r="T34" s="7"/>
      <c r="U34" s="7"/>
      <c r="Y34" s="72">
        <f t="shared" si="11"/>
        <v>12</v>
      </c>
      <c r="Z34" s="3">
        <f t="shared" si="0"/>
        <v>5.0152160818526834</v>
      </c>
      <c r="AA34" s="73">
        <f t="shared" si="1"/>
        <v>4.3868617206815808</v>
      </c>
      <c r="AB34" s="3">
        <f t="shared" si="12"/>
        <v>144</v>
      </c>
      <c r="AC34" s="3">
        <f t="shared" si="13"/>
        <v>144</v>
      </c>
      <c r="AD34" s="6">
        <f t="shared" si="14"/>
        <v>20736</v>
      </c>
      <c r="AE34" s="3">
        <f t="shared" si="15"/>
        <v>19.244555756381359</v>
      </c>
      <c r="AF34" s="3">
        <f t="shared" si="16"/>
        <v>52.642340648178973</v>
      </c>
      <c r="AG34" s="3">
        <f t="shared" si="17"/>
        <v>631.70808777814761</v>
      </c>
      <c r="AH34" s="1">
        <f t="shared" si="18"/>
        <v>1728</v>
      </c>
    </row>
    <row r="35" spans="1:34" s="1" customFormat="1">
      <c r="A35" s="38"/>
      <c r="B35" s="38"/>
      <c r="C35" s="38"/>
      <c r="D35" s="38"/>
      <c r="E35" s="39"/>
      <c r="F35" s="5"/>
      <c r="G35" s="39"/>
      <c r="H35" s="39"/>
      <c r="I35" s="23"/>
      <c r="J35" s="21"/>
      <c r="K35" s="21"/>
      <c r="L35" s="21"/>
      <c r="M35" s="21"/>
      <c r="N35" s="21"/>
      <c r="O35" s="7"/>
      <c r="P35" s="7"/>
      <c r="Q35" s="7"/>
      <c r="R35" s="7"/>
      <c r="S35" s="7"/>
      <c r="T35" s="7"/>
      <c r="U35" s="7"/>
      <c r="Y35" s="72">
        <f t="shared" si="11"/>
        <v>12.5</v>
      </c>
      <c r="Z35" s="3">
        <f t="shared" si="0"/>
        <v>5.0984370063083038</v>
      </c>
      <c r="AA35" s="73">
        <f t="shared" si="1"/>
        <v>4.4596559297237617</v>
      </c>
      <c r="AB35" s="3">
        <f t="shared" si="12"/>
        <v>156.25</v>
      </c>
      <c r="AC35" s="3">
        <f t="shared" si="13"/>
        <v>156.25</v>
      </c>
      <c r="AD35" s="6">
        <f t="shared" si="14"/>
        <v>24414.0625</v>
      </c>
      <c r="AE35" s="3">
        <f t="shared" si="15"/>
        <v>19.88853101152031</v>
      </c>
      <c r="AF35" s="3">
        <f t="shared" si="16"/>
        <v>55.74569912154702</v>
      </c>
      <c r="AG35" s="3">
        <f t="shared" si="17"/>
        <v>696.82123901933778</v>
      </c>
      <c r="AH35" s="1">
        <f t="shared" si="18"/>
        <v>1953.125</v>
      </c>
    </row>
    <row r="36" spans="1:34" s="1" customFormat="1">
      <c r="A36" s="38"/>
      <c r="B36" s="38"/>
      <c r="C36" s="38"/>
      <c r="D36" s="38"/>
      <c r="E36" s="39"/>
      <c r="F36" s="5"/>
      <c r="G36" s="39"/>
      <c r="H36" s="39"/>
      <c r="I36" s="23"/>
      <c r="J36" s="21"/>
      <c r="K36" s="21"/>
      <c r="L36" s="21"/>
      <c r="M36" s="21"/>
      <c r="N36" s="21"/>
      <c r="O36" s="7"/>
      <c r="P36" s="7"/>
      <c r="Q36" s="7"/>
      <c r="R36" s="7"/>
      <c r="S36" s="7"/>
      <c r="T36" s="7"/>
      <c r="U36" s="7"/>
      <c r="Y36" s="72">
        <f t="shared" si="11"/>
        <v>13</v>
      </c>
      <c r="Z36" s="3">
        <f t="shared" si="0"/>
        <v>5.1719878081825881</v>
      </c>
      <c r="AA36" s="73">
        <f t="shared" si="1"/>
        <v>4.5239915818674961</v>
      </c>
      <c r="AB36" s="3">
        <f t="shared" si="12"/>
        <v>169</v>
      </c>
      <c r="AC36" s="3">
        <f t="shared" si="13"/>
        <v>169</v>
      </c>
      <c r="AD36" s="6">
        <f t="shared" si="14"/>
        <v>28561</v>
      </c>
      <c r="AE36" s="3">
        <f t="shared" si="15"/>
        <v>20.466499832807969</v>
      </c>
      <c r="AF36" s="3">
        <f t="shared" si="16"/>
        <v>58.811890564277448</v>
      </c>
      <c r="AG36" s="3">
        <f t="shared" si="17"/>
        <v>764.55457733560684</v>
      </c>
      <c r="AH36" s="1">
        <f t="shared" si="18"/>
        <v>2197</v>
      </c>
    </row>
    <row r="37" spans="1:34" s="1" customFormat="1">
      <c r="A37" s="38"/>
      <c r="B37" s="38"/>
      <c r="C37" s="38"/>
      <c r="D37" s="38"/>
      <c r="E37" s="39"/>
      <c r="F37" s="5"/>
      <c r="G37" s="39"/>
      <c r="H37" s="39"/>
      <c r="I37" s="23"/>
      <c r="J37" s="21"/>
      <c r="K37" s="21"/>
      <c r="L37" s="21"/>
      <c r="M37" s="21"/>
      <c r="N37" s="21"/>
      <c r="O37" s="7"/>
      <c r="P37" s="7"/>
      <c r="Q37" s="7"/>
      <c r="R37" s="7"/>
      <c r="S37" s="7"/>
      <c r="T37" s="7"/>
      <c r="U37" s="7"/>
      <c r="Y37" s="72">
        <f t="shared" si="11"/>
        <v>13.5</v>
      </c>
      <c r="Z37" s="3">
        <f t="shared" si="0"/>
        <v>5.2358684874755355</v>
      </c>
      <c r="AA37" s="73">
        <f t="shared" si="1"/>
        <v>4.5798686771127803</v>
      </c>
      <c r="AB37" s="3">
        <f t="shared" si="12"/>
        <v>182.25</v>
      </c>
      <c r="AC37" s="3">
        <f t="shared" si="13"/>
        <v>182.25</v>
      </c>
      <c r="AD37" s="6">
        <f t="shared" si="14"/>
        <v>33215.0625</v>
      </c>
      <c r="AE37" s="3">
        <f t="shared" si="15"/>
        <v>20.97519709959877</v>
      </c>
      <c r="AF37" s="3">
        <f t="shared" si="16"/>
        <v>61.828227141022538</v>
      </c>
      <c r="AG37" s="3">
        <f t="shared" si="17"/>
        <v>834.68106640380427</v>
      </c>
      <c r="AH37" s="1">
        <f t="shared" si="18"/>
        <v>2460.375</v>
      </c>
    </row>
    <row r="38" spans="1:34" s="1" customFormat="1">
      <c r="A38" s="38"/>
      <c r="B38" s="38"/>
      <c r="C38" s="38"/>
      <c r="D38" s="38"/>
      <c r="E38" s="39"/>
      <c r="F38" s="5"/>
      <c r="G38" s="39"/>
      <c r="H38" s="39"/>
      <c r="I38" s="23"/>
      <c r="J38" s="21"/>
      <c r="K38" s="21"/>
      <c r="L38" s="21"/>
      <c r="M38" s="21"/>
      <c r="N38" s="21"/>
      <c r="O38" s="7"/>
      <c r="P38" s="7"/>
      <c r="Q38" s="7"/>
      <c r="R38" s="7"/>
      <c r="S38" s="7"/>
      <c r="T38" s="7"/>
      <c r="U38" s="7"/>
      <c r="Y38" s="72">
        <f t="shared" si="11"/>
        <v>14</v>
      </c>
      <c r="Z38" s="3">
        <f t="shared" si="0"/>
        <v>5.2900790441871486</v>
      </c>
      <c r="AA38" s="73">
        <f t="shared" si="1"/>
        <v>4.627287215459619</v>
      </c>
      <c r="AB38" s="3">
        <f t="shared" si="12"/>
        <v>196</v>
      </c>
      <c r="AC38" s="3">
        <f t="shared" si="13"/>
        <v>196</v>
      </c>
      <c r="AD38" s="6">
        <f t="shared" si="14"/>
        <v>38416</v>
      </c>
      <c r="AE38" s="3">
        <f t="shared" si="15"/>
        <v>21.411786974356033</v>
      </c>
      <c r="AF38" s="3">
        <f t="shared" si="16"/>
        <v>64.782021016434669</v>
      </c>
      <c r="AG38" s="3">
        <f t="shared" si="17"/>
        <v>906.94829423008537</v>
      </c>
      <c r="AH38" s="1">
        <f t="shared" si="18"/>
        <v>2744</v>
      </c>
    </row>
    <row r="39" spans="1:34" s="1" customFormat="1">
      <c r="A39" s="38"/>
      <c r="B39" s="38"/>
      <c r="C39" s="38"/>
      <c r="D39" s="38"/>
      <c r="E39" s="39"/>
      <c r="F39" s="5"/>
      <c r="G39" s="39"/>
      <c r="H39" s="39"/>
      <c r="I39" s="23"/>
      <c r="J39" s="21"/>
      <c r="K39" s="21"/>
      <c r="L39" s="21"/>
      <c r="M39" s="21"/>
      <c r="N39" s="21"/>
      <c r="O39" s="7"/>
      <c r="P39" s="7"/>
      <c r="Q39" s="7"/>
      <c r="R39" s="7"/>
      <c r="S39" s="7"/>
      <c r="T39" s="7"/>
      <c r="U39" s="7"/>
      <c r="Y39" s="72">
        <f t="shared" si="11"/>
        <v>14.5</v>
      </c>
      <c r="Z39" s="3">
        <f t="shared" si="0"/>
        <v>5.334619478317423</v>
      </c>
      <c r="AA39" s="73">
        <f t="shared" si="1"/>
        <v>4.6662471969080075</v>
      </c>
      <c r="AB39" s="3">
        <f t="shared" si="12"/>
        <v>210.25</v>
      </c>
      <c r="AC39" s="3">
        <f t="shared" si="13"/>
        <v>210.25</v>
      </c>
      <c r="AD39" s="6">
        <f t="shared" si="14"/>
        <v>44205.0625</v>
      </c>
      <c r="AE39" s="3">
        <f t="shared" si="15"/>
        <v>21.773862902651839</v>
      </c>
      <c r="AF39" s="3">
        <f t="shared" si="16"/>
        <v>67.660584355166108</v>
      </c>
      <c r="AG39" s="3">
        <f t="shared" si="17"/>
        <v>981.07847314990852</v>
      </c>
      <c r="AH39" s="1">
        <f t="shared" si="18"/>
        <v>3048.625</v>
      </c>
    </row>
    <row r="40" spans="1:34" s="1" customFormat="1">
      <c r="A40" s="38"/>
      <c r="B40" s="38"/>
      <c r="C40" s="38"/>
      <c r="D40" s="38"/>
      <c r="E40" s="39"/>
      <c r="F40" s="5"/>
      <c r="G40" s="39"/>
      <c r="H40" s="39"/>
      <c r="I40" s="23"/>
      <c r="J40" s="21"/>
      <c r="K40" s="21"/>
      <c r="L40" s="21"/>
      <c r="M40" s="21"/>
      <c r="N40" s="21"/>
      <c r="O40" s="7"/>
      <c r="P40" s="7"/>
      <c r="Q40" s="7"/>
      <c r="R40" s="7"/>
      <c r="S40" s="7"/>
      <c r="T40" s="7"/>
      <c r="U40" s="7"/>
      <c r="Y40" s="72">
        <f t="shared" si="11"/>
        <v>15</v>
      </c>
      <c r="Z40" s="3">
        <f t="shared" si="0"/>
        <v>5.3694897898663623</v>
      </c>
      <c r="AA40" s="73">
        <f t="shared" si="1"/>
        <v>4.6967486214579495</v>
      </c>
      <c r="AB40" s="3">
        <f t="shared" si="12"/>
        <v>225</v>
      </c>
      <c r="AC40" s="3">
        <f t="shared" si="13"/>
        <v>225</v>
      </c>
      <c r="AD40" s="6">
        <f t="shared" si="14"/>
        <v>50625</v>
      </c>
      <c r="AE40" s="3">
        <f t="shared" si="15"/>
        <v>22.059447613167148</v>
      </c>
      <c r="AF40" s="3">
        <f t="shared" si="16"/>
        <v>70.451229321869249</v>
      </c>
      <c r="AG40" s="3">
        <f t="shared" si="17"/>
        <v>1056.7684398280387</v>
      </c>
      <c r="AH40" s="1">
        <f t="shared" si="18"/>
        <v>3375</v>
      </c>
    </row>
    <row r="41" spans="1:34" s="1" customFormat="1">
      <c r="A41" s="38"/>
      <c r="B41" s="38"/>
      <c r="C41" s="38"/>
      <c r="D41" s="38"/>
      <c r="E41" s="39"/>
      <c r="F41" s="5"/>
      <c r="G41" s="39"/>
      <c r="H41" s="39"/>
      <c r="I41" s="23"/>
      <c r="J41" s="21"/>
      <c r="K41" s="21"/>
      <c r="L41" s="21"/>
      <c r="M41" s="21"/>
      <c r="N41" s="21"/>
      <c r="O41" s="7"/>
      <c r="P41" s="7"/>
      <c r="Q41" s="7"/>
      <c r="R41" s="7"/>
      <c r="S41" s="7"/>
      <c r="T41" s="7"/>
      <c r="U41" s="7"/>
      <c r="Y41" s="70"/>
      <c r="AA41" s="70"/>
    </row>
    <row r="42" spans="1:34" s="1" customFormat="1">
      <c r="A42" s="38"/>
      <c r="B42" s="38"/>
      <c r="C42" s="38"/>
      <c r="D42" s="38"/>
      <c r="E42" s="39"/>
      <c r="F42" s="5"/>
      <c r="G42" s="39"/>
      <c r="H42" s="39"/>
      <c r="I42" s="23"/>
      <c r="J42" s="21"/>
      <c r="K42" s="21"/>
      <c r="L42" s="21"/>
      <c r="M42" s="21"/>
      <c r="N42" s="21"/>
      <c r="O42" s="7"/>
      <c r="P42" s="7"/>
      <c r="Q42" s="7"/>
      <c r="R42" s="7"/>
      <c r="S42" s="7"/>
      <c r="T42" s="7"/>
      <c r="U42" s="7"/>
      <c r="Y42" s="70"/>
      <c r="AA42" s="70"/>
    </row>
    <row r="43" spans="1:34" s="1" customFormat="1">
      <c r="A43" s="38"/>
      <c r="B43" s="38"/>
      <c r="C43" s="38"/>
      <c r="D43" s="38"/>
      <c r="E43" s="39"/>
      <c r="F43" s="5"/>
      <c r="G43" s="39"/>
      <c r="H43" s="39"/>
      <c r="I43" s="23"/>
      <c r="J43" s="21"/>
      <c r="K43" s="21"/>
      <c r="L43" s="21"/>
      <c r="M43" s="21"/>
      <c r="N43" s="21"/>
      <c r="O43" s="7"/>
      <c r="P43" s="7"/>
      <c r="Q43" s="7"/>
      <c r="R43" s="7"/>
      <c r="S43" s="7"/>
      <c r="T43" s="7"/>
      <c r="U43" s="7"/>
      <c r="Y43" s="70"/>
      <c r="AA43" s="70"/>
    </row>
    <row r="44" spans="1:34" s="1" customFormat="1">
      <c r="A44" s="38"/>
      <c r="B44" s="38"/>
      <c r="C44" s="38"/>
      <c r="D44" s="38"/>
      <c r="E44" s="39"/>
      <c r="F44" s="5"/>
      <c r="G44" s="39"/>
      <c r="H44" s="39"/>
      <c r="I44" s="23"/>
      <c r="J44" s="21"/>
      <c r="K44" s="21"/>
      <c r="L44" s="21"/>
      <c r="M44" s="21"/>
      <c r="N44" s="21"/>
      <c r="O44" s="7"/>
      <c r="P44" s="7"/>
      <c r="Q44" s="7"/>
      <c r="R44" s="7"/>
      <c r="S44" s="7"/>
      <c r="T44" s="7"/>
      <c r="U44" s="7"/>
      <c r="Y44" s="70"/>
      <c r="AA44" s="70"/>
    </row>
    <row r="45" spans="1:34" s="1" customFormat="1">
      <c r="A45" s="38"/>
      <c r="B45" s="38"/>
      <c r="C45" s="38">
        <v>130</v>
      </c>
      <c r="D45" s="38">
        <v>110</v>
      </c>
      <c r="E45" s="39"/>
      <c r="F45" s="5"/>
      <c r="G45" s="39"/>
      <c r="H45" s="39"/>
      <c r="I45" s="23"/>
      <c r="J45" s="21"/>
      <c r="K45" s="21"/>
      <c r="L45" s="21"/>
      <c r="M45" s="21"/>
      <c r="N45" s="21"/>
      <c r="O45" s="7"/>
      <c r="P45" s="7"/>
      <c r="Q45" s="7"/>
      <c r="R45" s="7"/>
      <c r="S45" s="7"/>
      <c r="T45" s="7"/>
      <c r="U45" s="7"/>
      <c r="Y45" s="70">
        <f t="shared" ref="Y45:AH45" si="19">SUM(Y10:Y40)</f>
        <v>232.5</v>
      </c>
      <c r="Z45" s="1">
        <f t="shared" si="19"/>
        <v>106.77228761249415</v>
      </c>
      <c r="AA45" s="70">
        <f t="shared" si="19"/>
        <v>93.394831590949849</v>
      </c>
      <c r="AB45" s="1">
        <f t="shared" si="19"/>
        <v>2363.75</v>
      </c>
      <c r="AC45" s="1">
        <f t="shared" si="19"/>
        <v>2363.75</v>
      </c>
      <c r="AD45" s="1">
        <f t="shared" si="19"/>
        <v>329624.9375</v>
      </c>
      <c r="AE45" s="1">
        <f t="shared" si="19"/>
        <v>342.37272605316412</v>
      </c>
      <c r="AF45" s="1">
        <f t="shared" si="19"/>
        <v>890.36785640814639</v>
      </c>
      <c r="AG45" s="1">
        <f t="shared" si="19"/>
        <v>9802.6618626127583</v>
      </c>
      <c r="AH45" s="1">
        <f t="shared" si="19"/>
        <v>27028.125</v>
      </c>
    </row>
    <row r="46" spans="1:34" s="1" customFormat="1">
      <c r="A46" s="38"/>
      <c r="B46" s="38"/>
      <c r="C46" s="38">
        <v>20</v>
      </c>
      <c r="D46" s="38">
        <v>20</v>
      </c>
      <c r="E46" s="39"/>
      <c r="F46" s="5"/>
      <c r="G46" s="39"/>
      <c r="H46" s="39"/>
      <c r="I46" s="23"/>
      <c r="J46" s="21"/>
      <c r="K46" s="21"/>
      <c r="L46" s="21"/>
      <c r="M46" s="21"/>
      <c r="N46" s="21"/>
      <c r="O46" s="7"/>
      <c r="P46" s="7"/>
      <c r="Q46" s="7"/>
      <c r="R46" s="7"/>
      <c r="S46" s="7"/>
      <c r="T46" s="7"/>
      <c r="U46" s="7"/>
      <c r="Y46" s="70"/>
      <c r="AA46" s="70"/>
    </row>
    <row r="47" spans="1:34" s="1" customFormat="1">
      <c r="A47" s="38"/>
      <c r="B47" s="38"/>
      <c r="C47" s="38">
        <f>C45*C46</f>
        <v>2600</v>
      </c>
      <c r="D47" s="38">
        <f>D45*D46</f>
        <v>2200</v>
      </c>
      <c r="E47" s="39"/>
      <c r="F47" s="5"/>
      <c r="G47" s="39"/>
      <c r="H47" s="39"/>
      <c r="I47" s="23"/>
      <c r="J47" s="21"/>
      <c r="K47" s="21"/>
      <c r="L47" s="21"/>
      <c r="M47" s="21"/>
      <c r="N47" s="21"/>
      <c r="O47" s="7"/>
      <c r="P47" s="7"/>
      <c r="Q47" s="7"/>
      <c r="R47" s="7"/>
      <c r="S47" s="7"/>
      <c r="T47" s="7"/>
      <c r="U47" s="7"/>
      <c r="Y47" s="70">
        <f>COUNTA(Y10:Y40)</f>
        <v>31</v>
      </c>
      <c r="Z47" s="1">
        <f>Y45</f>
        <v>232.5</v>
      </c>
      <c r="AA47" s="70">
        <f>AB45</f>
        <v>2363.75</v>
      </c>
      <c r="AC47" s="1">
        <f>AA45</f>
        <v>93.394831590949849</v>
      </c>
      <c r="AE47" s="1">
        <f>AE45</f>
        <v>342.37272605316412</v>
      </c>
    </row>
    <row r="48" spans="1:34" s="1" customFormat="1">
      <c r="A48" s="38"/>
      <c r="B48" s="38"/>
      <c r="C48" s="38"/>
      <c r="D48" s="38"/>
      <c r="E48" s="39"/>
      <c r="F48" s="5"/>
      <c r="G48" s="39"/>
      <c r="H48" s="39"/>
      <c r="I48" s="23"/>
      <c r="J48" s="21"/>
      <c r="K48" s="21"/>
      <c r="L48" s="21"/>
      <c r="M48" s="21"/>
      <c r="N48" s="21"/>
      <c r="O48" s="7"/>
      <c r="P48" s="7"/>
      <c r="Q48" s="7"/>
      <c r="R48" s="7"/>
      <c r="S48" s="7"/>
      <c r="T48" s="7"/>
      <c r="U48" s="7"/>
      <c r="Y48" s="70">
        <f>Y45</f>
        <v>232.5</v>
      </c>
      <c r="Z48" s="1">
        <f>AC45</f>
        <v>2363.75</v>
      </c>
      <c r="AA48" s="70">
        <f>AH45</f>
        <v>27028.125</v>
      </c>
      <c r="AC48" s="1">
        <f>AF45</f>
        <v>890.36785640814639</v>
      </c>
    </row>
    <row r="49" spans="1:36" s="1" customFormat="1">
      <c r="A49" s="38"/>
      <c r="B49" s="38"/>
      <c r="C49" s="38"/>
      <c r="D49" s="38"/>
      <c r="E49" s="39"/>
      <c r="F49" s="5"/>
      <c r="G49" s="39"/>
      <c r="H49" s="39"/>
      <c r="I49" s="23"/>
      <c r="J49" s="21"/>
      <c r="K49" s="21"/>
      <c r="L49" s="21"/>
      <c r="M49" s="21"/>
      <c r="N49" s="21"/>
      <c r="O49" s="7"/>
      <c r="P49" s="7"/>
      <c r="Q49" s="7"/>
      <c r="R49" s="7"/>
      <c r="S49" s="7"/>
      <c r="T49" s="7"/>
      <c r="U49" s="7"/>
      <c r="Y49" s="70">
        <f>AB45</f>
        <v>2363.75</v>
      </c>
      <c r="Z49" s="1">
        <f>AH45</f>
        <v>27028.125</v>
      </c>
      <c r="AA49" s="70">
        <f>AD45</f>
        <v>329624.9375</v>
      </c>
      <c r="AC49" s="1">
        <f>AG45</f>
        <v>9802.6618626127583</v>
      </c>
    </row>
    <row r="50" spans="1:36" s="1" customFormat="1">
      <c r="A50" s="38"/>
      <c r="B50" s="38"/>
      <c r="C50" s="38"/>
      <c r="D50" s="38"/>
      <c r="E50" s="39"/>
      <c r="F50" s="5"/>
      <c r="G50" s="39"/>
      <c r="H50" s="39"/>
      <c r="I50" s="23"/>
      <c r="J50" s="21"/>
      <c r="K50" s="21"/>
      <c r="L50" s="21"/>
      <c r="M50" s="21"/>
      <c r="N50" s="21"/>
      <c r="O50" s="7"/>
      <c r="P50" s="7"/>
      <c r="Q50" s="7"/>
      <c r="R50" s="7"/>
      <c r="S50" s="7"/>
      <c r="T50" s="7"/>
      <c r="U50" s="7"/>
      <c r="Y50" s="70"/>
      <c r="AA50" s="70"/>
    </row>
    <row r="51" spans="1:36" s="1" customFormat="1">
      <c r="A51" s="38"/>
      <c r="B51" s="38"/>
      <c r="C51" s="38"/>
      <c r="D51" s="38"/>
      <c r="E51" s="39"/>
      <c r="F51" s="5"/>
      <c r="G51" s="39"/>
      <c r="H51" s="39"/>
      <c r="I51" s="23"/>
      <c r="J51" s="21"/>
      <c r="K51" s="21"/>
      <c r="L51" s="21"/>
      <c r="M51" s="21"/>
      <c r="N51" s="21"/>
      <c r="O51" s="7"/>
      <c r="P51" s="7"/>
      <c r="Q51" s="7"/>
      <c r="R51" s="7"/>
      <c r="S51" s="7"/>
      <c r="T51" s="7"/>
      <c r="U51" s="7"/>
      <c r="Y51" s="70">
        <f>(Y47*((Z48*AA49)-(AA48*Z49)))-(Z47*((Y48*AA49)-(AA48*Y49)))+(AA47*((Y48*Z49)-(Z48*Y49)))</f>
        <v>190066580</v>
      </c>
      <c r="AA51" s="70"/>
    </row>
    <row r="52" spans="1:36" s="1" customFormat="1">
      <c r="A52" s="38"/>
      <c r="B52" s="38"/>
      <c r="C52" s="38"/>
      <c r="D52" s="38"/>
      <c r="E52" s="39"/>
      <c r="F52" s="5"/>
      <c r="G52" s="39"/>
      <c r="H52" s="39"/>
      <c r="I52" s="23"/>
      <c r="J52" s="21"/>
      <c r="K52" s="21"/>
      <c r="L52" s="21"/>
      <c r="M52" s="21"/>
      <c r="N52" s="21"/>
      <c r="O52" s="7"/>
      <c r="P52" s="7"/>
      <c r="Q52" s="7"/>
      <c r="R52" s="7"/>
      <c r="S52" s="7"/>
      <c r="T52" s="7"/>
      <c r="U52" s="7"/>
      <c r="Y52" s="70"/>
      <c r="AA52" s="70"/>
    </row>
    <row r="53" spans="1:36" s="1" customFormat="1">
      <c r="A53" s="38"/>
      <c r="B53" s="38"/>
      <c r="C53" s="38"/>
      <c r="D53" s="38"/>
      <c r="E53" s="39"/>
      <c r="F53" s="5"/>
      <c r="G53" s="39"/>
      <c r="H53" s="39"/>
      <c r="I53" s="23"/>
      <c r="J53" s="21"/>
      <c r="K53" s="21"/>
      <c r="L53" s="21"/>
      <c r="M53" s="21"/>
      <c r="N53" s="21"/>
      <c r="O53" s="7"/>
      <c r="P53" s="7"/>
      <c r="Q53" s="7"/>
      <c r="R53" s="7"/>
      <c r="S53" s="7"/>
      <c r="T53" s="7"/>
      <c r="U53" s="7"/>
      <c r="Y53" s="70">
        <f>((Z48*AA49)-(AA48*Z49))/Y51</f>
        <v>0.25586510263929618</v>
      </c>
      <c r="Z53" s="1">
        <f>-1*(((Z47*AA49)-(AA47*Z49))/Y51)</f>
        <v>-6.7082111436950143E-2</v>
      </c>
      <c r="AA53" s="70">
        <f>((Z47*AA48)-(AA47*Z48))/Y51</f>
        <v>3.6656891495601175E-3</v>
      </c>
      <c r="AC53" s="2" t="s">
        <v>25</v>
      </c>
      <c r="AD53" s="1">
        <f>(Y53*AC47)+(Z53*AC48)+(AA53*AC49)</f>
        <v>0.10223363413482645</v>
      </c>
    </row>
    <row r="54" spans="1:36" s="1" customFormat="1">
      <c r="A54" s="38"/>
      <c r="B54" s="38"/>
      <c r="C54" s="38"/>
      <c r="D54" s="38"/>
      <c r="E54" s="39"/>
      <c r="F54" s="5"/>
      <c r="G54" s="39"/>
      <c r="H54" s="39"/>
      <c r="I54" s="23"/>
      <c r="J54" s="21"/>
      <c r="K54" s="21"/>
      <c r="L54" s="21"/>
      <c r="M54" s="21"/>
      <c r="N54" s="21"/>
      <c r="O54" s="7"/>
      <c r="P54" s="7"/>
      <c r="Q54" s="7"/>
      <c r="R54" s="7"/>
      <c r="S54" s="7"/>
      <c r="T54" s="7"/>
      <c r="U54" s="7"/>
      <c r="Y54" s="70">
        <f>Z53</f>
        <v>-6.7082111436950143E-2</v>
      </c>
      <c r="Z54" s="1">
        <f>((Y47*AA49)-(AA47*Y49))/Y51</f>
        <v>2.4365456567903732E-2</v>
      </c>
      <c r="AA54" s="70">
        <f>-1*(((Y47*AA48)-(AA47*Y48))/Y51)</f>
        <v>-1.516836889473152E-3</v>
      </c>
      <c r="AC54" s="2" t="s">
        <v>26</v>
      </c>
      <c r="AD54" s="1">
        <f>(Y54*AC47)+(Z54*AC48)+(AA54*AC49)</f>
        <v>0.56005770610832073</v>
      </c>
    </row>
    <row r="55" spans="1:36" s="1" customFormat="1">
      <c r="A55" s="38"/>
      <c r="B55" s="38"/>
      <c r="C55" s="38"/>
      <c r="D55" s="38"/>
      <c r="E55" s="39"/>
      <c r="F55" s="5"/>
      <c r="G55" s="39"/>
      <c r="H55" s="39"/>
      <c r="I55" s="23"/>
      <c r="J55" s="21"/>
      <c r="K55" s="21"/>
      <c r="L55" s="21"/>
      <c r="M55" s="21"/>
      <c r="N55" s="21"/>
      <c r="O55" s="7"/>
      <c r="P55" s="7"/>
      <c r="Q55" s="7"/>
      <c r="R55" s="7"/>
      <c r="S55" s="7"/>
      <c r="T55" s="7"/>
      <c r="U55" s="7"/>
      <c r="Y55" s="70">
        <f>AA53</f>
        <v>3.6656891495601175E-3</v>
      </c>
      <c r="Z55" s="1">
        <f>AA54</f>
        <v>-1.516836889473152E-3</v>
      </c>
      <c r="AA55" s="70">
        <f>((Y47*Z48)-(Z47*Y48))/Y51</f>
        <v>1.0112245929821013E-4</v>
      </c>
      <c r="AC55" s="2" t="s">
        <v>27</v>
      </c>
      <c r="AD55" s="1">
        <f>(Y55*AC47)+(Z55*AC48)+(AA55*AC49)</f>
        <v>-1.6917113796895977E-2</v>
      </c>
    </row>
    <row r="56" spans="1:36" s="1" customFormat="1">
      <c r="A56" s="38"/>
      <c r="B56" s="38"/>
      <c r="C56" s="38"/>
      <c r="D56" s="38"/>
      <c r="E56" s="39"/>
      <c r="F56" s="5"/>
      <c r="G56" s="39"/>
      <c r="H56" s="39"/>
      <c r="I56" s="23"/>
      <c r="J56" s="21"/>
      <c r="K56" s="21"/>
      <c r="L56" s="21"/>
      <c r="M56" s="21"/>
      <c r="N56" s="21"/>
      <c r="O56" s="7"/>
      <c r="P56" s="7"/>
      <c r="Q56" s="7"/>
      <c r="R56" s="7"/>
      <c r="S56" s="7"/>
      <c r="T56" s="7"/>
      <c r="U56" s="7"/>
      <c r="Y56" s="70"/>
      <c r="Z56"/>
      <c r="AA56" s="70"/>
      <c r="AB56"/>
      <c r="AC56"/>
      <c r="AD56"/>
      <c r="AE56"/>
      <c r="AF56"/>
      <c r="AG56"/>
      <c r="AH56"/>
      <c r="AI56"/>
    </row>
    <row r="57" spans="1:36" s="1" customFormat="1">
      <c r="A57" s="38"/>
      <c r="B57" s="40"/>
      <c r="C57" s="40"/>
      <c r="D57" s="38"/>
      <c r="E57" s="23"/>
      <c r="F57" s="51"/>
      <c r="G57" s="23"/>
      <c r="H57" s="23"/>
      <c r="I57" s="23"/>
      <c r="J57" s="21"/>
      <c r="K57" s="21"/>
      <c r="L57" s="21"/>
      <c r="M57" s="21"/>
      <c r="N57" s="21"/>
      <c r="O57" s="7"/>
      <c r="P57" s="7"/>
      <c r="Q57" s="7"/>
      <c r="R57" s="7"/>
      <c r="S57" s="7"/>
      <c r="T57" s="7"/>
      <c r="U57" s="7"/>
      <c r="Y57" s="70"/>
      <c r="Z57"/>
      <c r="AA57" s="70"/>
      <c r="AB57"/>
      <c r="AC57"/>
      <c r="AD57"/>
      <c r="AE57"/>
      <c r="AF57"/>
      <c r="AG57"/>
      <c r="AH57"/>
      <c r="AI57"/>
    </row>
    <row r="58" spans="1:36" s="1" customFormat="1">
      <c r="A58" s="41" t="s">
        <v>20</v>
      </c>
      <c r="B58" s="40"/>
      <c r="C58" s="40"/>
      <c r="D58" s="38"/>
      <c r="E58" s="23"/>
      <c r="F58" s="51"/>
      <c r="G58" s="23"/>
      <c r="H58" s="23"/>
      <c r="I58" s="23"/>
      <c r="J58" s="21"/>
      <c r="K58" s="21"/>
      <c r="L58" s="21"/>
      <c r="M58" s="21"/>
      <c r="N58" s="21"/>
      <c r="O58" s="7"/>
      <c r="P58" s="7"/>
      <c r="Q58" s="7"/>
      <c r="R58" s="7"/>
      <c r="S58" s="7"/>
      <c r="T58" s="7"/>
      <c r="U58" s="7"/>
      <c r="Y58" s="70"/>
      <c r="Z58"/>
      <c r="AA58" s="70"/>
      <c r="AB58"/>
      <c r="AC58"/>
      <c r="AD58"/>
      <c r="AE58"/>
      <c r="AF58"/>
      <c r="AG58"/>
      <c r="AH58"/>
      <c r="AI58"/>
    </row>
    <row r="59" spans="1:36" s="1" customFormat="1">
      <c r="A59" s="40"/>
      <c r="B59" s="40"/>
      <c r="C59" s="40"/>
      <c r="D59" s="38"/>
      <c r="E59" s="23"/>
      <c r="F59" s="51"/>
      <c r="G59" s="23"/>
      <c r="H59" s="23"/>
      <c r="I59" s="16"/>
      <c r="J59" s="16"/>
      <c r="K59" s="16"/>
      <c r="L59" s="16"/>
      <c r="M59" s="16"/>
      <c r="N59" s="16"/>
      <c r="O59"/>
      <c r="P59"/>
      <c r="Q59"/>
      <c r="R59"/>
      <c r="S59"/>
      <c r="T59"/>
      <c r="U59"/>
      <c r="Y59" s="70"/>
      <c r="Z59"/>
      <c r="AA59" s="70"/>
      <c r="AB59"/>
      <c r="AC59"/>
      <c r="AD59"/>
      <c r="AE59"/>
      <c r="AF59"/>
      <c r="AG59"/>
      <c r="AH59"/>
      <c r="AI59"/>
    </row>
    <row r="60" spans="1:36" s="1" customFormat="1">
      <c r="A60" s="42">
        <v>9.3257999999999992</v>
      </c>
      <c r="B60" s="41" t="s">
        <v>21</v>
      </c>
      <c r="C60" s="16"/>
      <c r="D60" s="41" t="s">
        <v>22</v>
      </c>
      <c r="E60" s="41" t="s">
        <v>23</v>
      </c>
      <c r="F60" s="50" t="s">
        <v>24</v>
      </c>
      <c r="G60" s="23"/>
      <c r="H60" s="23"/>
      <c r="I60" s="16"/>
      <c r="J60" s="16"/>
      <c r="K60" s="16"/>
      <c r="L60" s="16"/>
      <c r="M60" s="16"/>
      <c r="N60" s="16"/>
      <c r="O60"/>
      <c r="P60"/>
      <c r="Q60"/>
      <c r="R60"/>
      <c r="S60"/>
      <c r="T60"/>
      <c r="U60"/>
      <c r="Y60" s="70"/>
      <c r="Z60"/>
      <c r="AA60" s="70"/>
      <c r="AB60"/>
      <c r="AC60"/>
      <c r="AD60"/>
      <c r="AE60"/>
      <c r="AF60"/>
      <c r="AG60"/>
      <c r="AH60"/>
      <c r="AI60"/>
    </row>
    <row r="61" spans="1:36" s="1" customFormat="1">
      <c r="A61" s="42">
        <v>9.0851199999999999</v>
      </c>
      <c r="B61" s="40"/>
      <c r="C61" s="16"/>
      <c r="D61" s="38"/>
      <c r="E61" s="38"/>
      <c r="F61" s="53"/>
      <c r="G61" s="39"/>
      <c r="H61" s="39"/>
      <c r="I61" s="16"/>
      <c r="J61" s="16"/>
      <c r="K61" s="16"/>
      <c r="L61" s="16"/>
      <c r="M61" s="16"/>
      <c r="N61" s="16"/>
      <c r="O61"/>
      <c r="P61"/>
      <c r="Q61"/>
      <c r="R61"/>
      <c r="S61"/>
      <c r="T61"/>
      <c r="U61"/>
      <c r="Y61" s="70"/>
      <c r="Z61"/>
      <c r="AA61" s="70"/>
      <c r="AB61"/>
      <c r="AC61"/>
      <c r="AD61"/>
      <c r="AE61"/>
      <c r="AF61"/>
      <c r="AG61"/>
      <c r="AH61"/>
      <c r="AI61"/>
    </row>
    <row r="62" spans="1:36" s="1" customFormat="1">
      <c r="A62" s="42">
        <v>9.3727999999999998</v>
      </c>
      <c r="B62" s="42">
        <f t="shared" ref="B62:B68" si="20">A60*0.454</f>
        <v>4.2339131999999999</v>
      </c>
      <c r="C62" s="43"/>
      <c r="D62" s="44">
        <v>4.71</v>
      </c>
      <c r="E62" s="44">
        <v>1.98</v>
      </c>
      <c r="F62" s="54">
        <f>E62*D62</f>
        <v>9.3257999999999992</v>
      </c>
      <c r="G62" s="39"/>
      <c r="H62" s="39"/>
      <c r="I62" s="39"/>
      <c r="J62" s="16"/>
      <c r="K62" s="16"/>
      <c r="L62" s="16"/>
      <c r="M62" s="16"/>
      <c r="N62" s="16"/>
      <c r="O62"/>
      <c r="P62"/>
      <c r="Q62"/>
      <c r="R62"/>
      <c r="S62"/>
      <c r="T62"/>
      <c r="U62"/>
      <c r="Y62" s="70"/>
      <c r="Z62"/>
      <c r="AA62" s="70"/>
      <c r="AB62"/>
      <c r="AC62"/>
      <c r="AD62"/>
      <c r="AE62"/>
      <c r="AF62"/>
      <c r="AG62"/>
      <c r="AH62"/>
      <c r="AI62"/>
    </row>
    <row r="63" spans="1:36" s="1" customFormat="1">
      <c r="A63" s="42">
        <v>11.55472</v>
      </c>
      <c r="B63" s="42">
        <f t="shared" si="20"/>
        <v>4.1246444799999997</v>
      </c>
      <c r="C63" s="43"/>
      <c r="D63" s="44">
        <v>4.6399999999999997</v>
      </c>
      <c r="E63" s="44">
        <v>1.958</v>
      </c>
      <c r="F63" s="54">
        <f t="shared" ref="F63:F68" si="21">E63*D63</f>
        <v>9.0851199999999999</v>
      </c>
      <c r="G63" s="39"/>
      <c r="H63" s="39"/>
      <c r="I63" s="39"/>
      <c r="J63" s="16"/>
      <c r="K63" s="16"/>
      <c r="L63" s="16"/>
      <c r="M63" s="16"/>
      <c r="N63" s="16"/>
      <c r="O63"/>
      <c r="P63"/>
      <c r="Q63"/>
      <c r="R63"/>
      <c r="S63"/>
      <c r="T63"/>
      <c r="U63"/>
      <c r="Y63" s="70"/>
      <c r="Z63"/>
      <c r="AA63" s="70"/>
      <c r="AB63"/>
      <c r="AC63"/>
      <c r="AD63"/>
      <c r="AE63"/>
      <c r="AF63"/>
      <c r="AG63"/>
      <c r="AH63"/>
      <c r="AI63"/>
    </row>
    <row r="64" spans="1:36" s="1" customFormat="1">
      <c r="A64" s="42">
        <v>7.6896399999999989</v>
      </c>
      <c r="B64" s="42">
        <f t="shared" si="20"/>
        <v>4.2552512</v>
      </c>
      <c r="C64" s="43"/>
      <c r="D64" s="44">
        <v>4.6399999999999997</v>
      </c>
      <c r="E64" s="44">
        <v>2.02</v>
      </c>
      <c r="F64" s="54">
        <f t="shared" si="21"/>
        <v>9.3727999999999998</v>
      </c>
      <c r="G64" s="39"/>
      <c r="H64" s="39"/>
      <c r="I64" s="39"/>
      <c r="J64" s="16"/>
      <c r="K64" s="16"/>
      <c r="L64" s="16"/>
      <c r="M64" s="16"/>
      <c r="N64" s="16"/>
      <c r="O64"/>
      <c r="P64"/>
      <c r="Q64"/>
      <c r="R64"/>
      <c r="S64"/>
      <c r="T64"/>
      <c r="U64"/>
      <c r="Y64" s="70"/>
      <c r="Z64"/>
      <c r="AA64" s="70"/>
      <c r="AB64"/>
      <c r="AC64"/>
      <c r="AD64"/>
      <c r="AE64"/>
      <c r="AF64"/>
      <c r="AG64"/>
      <c r="AH64"/>
      <c r="AI64"/>
      <c r="AJ64"/>
    </row>
    <row r="65" spans="1:36" s="1" customFormat="1">
      <c r="A65" s="42">
        <v>4.04</v>
      </c>
      <c r="B65" s="42">
        <f t="shared" si="20"/>
        <v>5.2458428799999997</v>
      </c>
      <c r="C65" s="43"/>
      <c r="D65" s="44">
        <v>5.62</v>
      </c>
      <c r="E65" s="44">
        <v>2.056</v>
      </c>
      <c r="F65" s="54">
        <f t="shared" si="21"/>
        <v>11.55472</v>
      </c>
      <c r="G65" s="39"/>
      <c r="H65" s="39"/>
      <c r="I65" s="39"/>
      <c r="J65" s="16"/>
      <c r="K65" s="16"/>
      <c r="L65" s="16"/>
      <c r="M65" s="16"/>
      <c r="N65" s="16"/>
      <c r="O65"/>
      <c r="P65"/>
      <c r="Q65"/>
      <c r="R65"/>
      <c r="S65"/>
      <c r="T65"/>
      <c r="U65"/>
      <c r="Y65" s="70"/>
      <c r="Z65"/>
      <c r="AA65" s="70"/>
      <c r="AB65"/>
      <c r="AC65"/>
      <c r="AD65"/>
      <c r="AE65"/>
      <c r="AF65"/>
      <c r="AG65"/>
      <c r="AH65"/>
      <c r="AI65"/>
      <c r="AJ65"/>
    </row>
    <row r="66" spans="1:36" s="1" customFormat="1">
      <c r="A66" s="42">
        <v>4.04</v>
      </c>
      <c r="B66" s="42">
        <f t="shared" si="20"/>
        <v>3.4910965599999995</v>
      </c>
      <c r="C66" s="43"/>
      <c r="D66" s="44">
        <v>4.0599999999999996</v>
      </c>
      <c r="E66" s="44">
        <v>1.8939999999999999</v>
      </c>
      <c r="F66" s="54">
        <f t="shared" si="21"/>
        <v>7.6896399999999989</v>
      </c>
      <c r="G66" s="39"/>
      <c r="H66" s="39"/>
      <c r="I66" s="39"/>
      <c r="J66" s="16"/>
      <c r="K66" s="16"/>
      <c r="L66" s="16"/>
      <c r="M66" s="16"/>
      <c r="N66" s="16"/>
      <c r="O66"/>
      <c r="P66"/>
      <c r="Q66"/>
      <c r="R66"/>
      <c r="S66"/>
      <c r="T66"/>
      <c r="U66"/>
      <c r="Y66" s="70"/>
      <c r="Z66"/>
      <c r="AA66" s="70"/>
      <c r="AB66"/>
      <c r="AC66"/>
      <c r="AD66"/>
      <c r="AE66"/>
      <c r="AF66"/>
      <c r="AG66"/>
      <c r="AH66"/>
      <c r="AI66"/>
      <c r="AJ66"/>
    </row>
    <row r="67" spans="1:36" s="1" customFormat="1">
      <c r="A67" s="39"/>
      <c r="B67" s="42">
        <f t="shared" si="20"/>
        <v>1.83416</v>
      </c>
      <c r="C67" s="43"/>
      <c r="D67" s="44">
        <v>4.75</v>
      </c>
      <c r="E67" s="44">
        <v>1.9590000000000001</v>
      </c>
      <c r="F67" s="54">
        <f t="shared" si="21"/>
        <v>9.3052500000000009</v>
      </c>
      <c r="G67" s="39"/>
      <c r="H67" s="39"/>
      <c r="I67" s="39"/>
      <c r="J67" s="16"/>
      <c r="K67" s="16"/>
      <c r="L67" s="16"/>
      <c r="M67" s="16"/>
      <c r="N67" s="16"/>
      <c r="O67"/>
      <c r="P67"/>
      <c r="Q67"/>
      <c r="R67"/>
      <c r="S67"/>
      <c r="T67"/>
      <c r="U67"/>
      <c r="Y67" s="70"/>
      <c r="Z67"/>
      <c r="AA67" s="70"/>
      <c r="AB67"/>
      <c r="AC67"/>
      <c r="AD67"/>
      <c r="AE67"/>
      <c r="AF67"/>
      <c r="AG67"/>
      <c r="AH67"/>
      <c r="AI67"/>
      <c r="AJ67"/>
    </row>
    <row r="68" spans="1:36" s="1" customFormat="1" ht="14" thickBot="1">
      <c r="A68" s="39"/>
      <c r="B68" s="42">
        <f t="shared" si="20"/>
        <v>1.83416</v>
      </c>
      <c r="C68" s="43"/>
      <c r="D68" s="44">
        <v>4.75</v>
      </c>
      <c r="E68" s="44">
        <v>1.9590000000000001</v>
      </c>
      <c r="F68" s="54">
        <f t="shared" si="21"/>
        <v>9.3052500000000009</v>
      </c>
      <c r="G68" s="39"/>
      <c r="H68" s="39"/>
      <c r="I68" s="39"/>
      <c r="J68" s="16"/>
      <c r="K68" s="16"/>
      <c r="L68" s="16"/>
      <c r="M68" s="16"/>
      <c r="N68" s="16"/>
      <c r="O68"/>
      <c r="P68"/>
      <c r="Q68"/>
      <c r="R68"/>
      <c r="S68"/>
      <c r="T68"/>
      <c r="U68"/>
      <c r="Y68" s="70"/>
      <c r="Z68"/>
      <c r="AA68" s="70"/>
      <c r="AB68"/>
      <c r="AC68"/>
      <c r="AD68"/>
      <c r="AE68"/>
      <c r="AF68"/>
      <c r="AG68"/>
      <c r="AH68"/>
      <c r="AI68"/>
      <c r="AJ68"/>
    </row>
    <row r="69" spans="1:36" s="1" customFormat="1" ht="14" thickBot="1">
      <c r="A69" s="45">
        <v>1</v>
      </c>
      <c r="B69" s="39"/>
      <c r="C69" s="39"/>
      <c r="D69" s="39"/>
      <c r="E69" s="39"/>
      <c r="F69" s="5"/>
      <c r="G69" s="39"/>
      <c r="H69" s="39"/>
      <c r="I69" s="46">
        <v>19</v>
      </c>
      <c r="J69" s="46">
        <v>0.14000000000000001</v>
      </c>
      <c r="K69" s="39"/>
      <c r="L69" s="46">
        <v>1.05</v>
      </c>
      <c r="M69" s="16"/>
      <c r="N69" s="16"/>
      <c r="O69"/>
      <c r="P69"/>
      <c r="Q69"/>
      <c r="R69"/>
      <c r="S69"/>
      <c r="T69"/>
      <c r="U69"/>
      <c r="Y69" s="70"/>
      <c r="Z69"/>
      <c r="AA69" s="70"/>
      <c r="AB69"/>
      <c r="AC69"/>
      <c r="AD69"/>
      <c r="AE69"/>
      <c r="AF69"/>
      <c r="AG69"/>
      <c r="AH69"/>
      <c r="AI69"/>
      <c r="AJ69"/>
    </row>
    <row r="70" spans="1:36" s="1" customFormat="1" ht="14" thickBot="1">
      <c r="A70" s="47">
        <v>2</v>
      </c>
      <c r="B70" s="39"/>
      <c r="C70" s="39"/>
      <c r="D70" s="39"/>
      <c r="E70" s="39"/>
      <c r="F70" s="5"/>
      <c r="G70" s="39"/>
      <c r="H70" s="39"/>
      <c r="I70" s="48">
        <v>21</v>
      </c>
      <c r="J70" s="48">
        <v>0.2</v>
      </c>
      <c r="K70" s="39"/>
      <c r="L70" s="48">
        <v>1.1399999999999999</v>
      </c>
      <c r="M70" s="16"/>
      <c r="N70" s="16"/>
      <c r="O70"/>
      <c r="P70"/>
      <c r="Q70"/>
      <c r="R70"/>
      <c r="S70"/>
      <c r="T70"/>
      <c r="U70"/>
      <c r="Y70" s="70"/>
      <c r="Z70"/>
      <c r="AA70" s="70"/>
      <c r="AB70"/>
      <c r="AC70"/>
      <c r="AD70"/>
      <c r="AE70"/>
      <c r="AF70"/>
      <c r="AG70"/>
      <c r="AH70"/>
      <c r="AI70"/>
      <c r="AJ70"/>
    </row>
    <row r="71" spans="1:36" s="1" customFormat="1" ht="14" thickBot="1">
      <c r="A71" s="47">
        <v>3</v>
      </c>
      <c r="B71" s="46">
        <v>0.28999999999999998</v>
      </c>
      <c r="C71" s="46">
        <v>4.2000000000000003E-2</v>
      </c>
      <c r="D71" s="46">
        <v>0.31</v>
      </c>
      <c r="E71" s="46">
        <v>0.31</v>
      </c>
      <c r="F71" s="55">
        <v>1.05</v>
      </c>
      <c r="G71" s="46">
        <v>1</v>
      </c>
      <c r="H71" s="39"/>
      <c r="I71" s="48">
        <v>30</v>
      </c>
      <c r="J71" s="48">
        <v>0.42</v>
      </c>
      <c r="K71" s="39"/>
      <c r="L71" s="48">
        <v>1.23</v>
      </c>
      <c r="M71" s="16"/>
      <c r="N71" s="16"/>
      <c r="O71"/>
      <c r="P71"/>
      <c r="Q71"/>
      <c r="R71"/>
      <c r="S71"/>
      <c r="T71"/>
      <c r="U71"/>
      <c r="Y71" s="70"/>
      <c r="Z71"/>
      <c r="AA71" s="70"/>
      <c r="AB71"/>
      <c r="AC71"/>
      <c r="AD71"/>
      <c r="AE71"/>
      <c r="AF71"/>
      <c r="AG71"/>
      <c r="AH71"/>
      <c r="AI71"/>
      <c r="AJ71"/>
    </row>
    <row r="72" spans="1:36" s="1" customFormat="1" ht="14" thickBot="1">
      <c r="A72" s="47">
        <v>4</v>
      </c>
      <c r="B72" s="48">
        <v>0.66</v>
      </c>
      <c r="C72" s="48">
        <v>4.7E-2</v>
      </c>
      <c r="D72" s="48">
        <v>0.45</v>
      </c>
      <c r="E72" s="48">
        <v>0.76</v>
      </c>
      <c r="F72" s="56">
        <v>1.1399999999999999</v>
      </c>
      <c r="G72" s="48">
        <v>2</v>
      </c>
      <c r="H72" s="39"/>
      <c r="I72" s="48">
        <v>37</v>
      </c>
      <c r="J72" s="48">
        <v>0.56999999999999995</v>
      </c>
      <c r="K72" s="39"/>
      <c r="L72" s="48">
        <v>1.3</v>
      </c>
      <c r="M72" s="16"/>
      <c r="N72" s="16"/>
      <c r="O72"/>
      <c r="P72"/>
      <c r="Q72"/>
      <c r="R72"/>
      <c r="S72"/>
      <c r="T72"/>
      <c r="U72"/>
      <c r="Y72" s="70"/>
      <c r="Z72"/>
      <c r="AA72" s="70"/>
      <c r="AB72"/>
      <c r="AC72"/>
      <c r="AD72"/>
      <c r="AE72"/>
      <c r="AF72"/>
      <c r="AG72"/>
      <c r="AH72"/>
      <c r="AI72"/>
      <c r="AJ72"/>
    </row>
    <row r="73" spans="1:36" s="1" customFormat="1" ht="14" thickBot="1">
      <c r="A73" s="47">
        <v>5</v>
      </c>
      <c r="B73" s="48">
        <v>1.37</v>
      </c>
      <c r="C73" s="48">
        <v>6.5000000000000002E-2</v>
      </c>
      <c r="D73" s="48">
        <v>0.93</v>
      </c>
      <c r="E73" s="48">
        <v>1.69</v>
      </c>
      <c r="F73" s="56">
        <v>1.23</v>
      </c>
      <c r="G73" s="48">
        <v>3</v>
      </c>
      <c r="H73" s="39"/>
      <c r="I73" s="48">
        <v>43</v>
      </c>
      <c r="J73" s="48">
        <v>0.76</v>
      </c>
      <c r="K73" s="39"/>
      <c r="L73" s="48">
        <v>1.4</v>
      </c>
      <c r="M73" s="16"/>
      <c r="N73" s="16"/>
      <c r="O73"/>
      <c r="P73"/>
      <c r="Q73"/>
      <c r="R73"/>
      <c r="S73"/>
      <c r="T73"/>
      <c r="U73"/>
      <c r="Y73" s="70"/>
      <c r="Z73"/>
      <c r="AA73" s="70"/>
      <c r="AB73"/>
      <c r="AC73"/>
      <c r="AD73"/>
      <c r="AE73"/>
      <c r="AF73"/>
      <c r="AG73"/>
      <c r="AH73"/>
      <c r="AI73"/>
      <c r="AJ73"/>
    </row>
    <row r="74" spans="1:36" s="1" customFormat="1" ht="14" thickBot="1">
      <c r="A74" s="47">
        <v>6</v>
      </c>
      <c r="B74" s="48">
        <v>2.27</v>
      </c>
      <c r="C74" s="48">
        <v>8.1000000000000003E-2</v>
      </c>
      <c r="D74" s="48">
        <v>1.27</v>
      </c>
      <c r="E74" s="48">
        <v>2.95</v>
      </c>
      <c r="F74" s="56">
        <v>1.3</v>
      </c>
      <c r="G74" s="48">
        <v>4</v>
      </c>
      <c r="H74" s="39"/>
      <c r="I74" s="48">
        <v>50</v>
      </c>
      <c r="J74" s="48">
        <v>1.02</v>
      </c>
      <c r="K74" s="39"/>
      <c r="L74" s="48">
        <v>1.49</v>
      </c>
      <c r="M74" s="16"/>
      <c r="N74" s="16"/>
      <c r="O74"/>
      <c r="P74"/>
      <c r="Q74"/>
      <c r="R74"/>
      <c r="S74"/>
      <c r="T74"/>
      <c r="U74"/>
      <c r="Y74" s="70"/>
      <c r="Z74"/>
      <c r="AA74" s="70"/>
      <c r="AB74"/>
      <c r="AC74"/>
      <c r="AD74"/>
      <c r="AE74"/>
      <c r="AF74"/>
      <c r="AG74"/>
      <c r="AH74"/>
      <c r="AI74"/>
      <c r="AJ74"/>
    </row>
    <row r="75" spans="1:36" s="1" customFormat="1" ht="14" thickBot="1">
      <c r="A75" s="47">
        <v>7</v>
      </c>
      <c r="B75" s="48">
        <v>3.3</v>
      </c>
      <c r="C75" s="48">
        <v>9.4E-2</v>
      </c>
      <c r="D75" s="48">
        <v>1.67</v>
      </c>
      <c r="E75" s="48">
        <v>4.62</v>
      </c>
      <c r="F75" s="56">
        <v>1.4</v>
      </c>
      <c r="G75" s="48">
        <v>5</v>
      </c>
      <c r="H75" s="39"/>
      <c r="I75" s="48">
        <v>56</v>
      </c>
      <c r="J75" s="48">
        <v>1.25</v>
      </c>
      <c r="K75" s="39"/>
      <c r="L75" s="48">
        <v>1.58</v>
      </c>
      <c r="M75" s="16"/>
      <c r="N75" s="16"/>
      <c r="O75"/>
      <c r="P75"/>
      <c r="Q75"/>
      <c r="R75"/>
      <c r="S75"/>
      <c r="T75"/>
      <c r="U75"/>
      <c r="Y75" s="70"/>
      <c r="Z75"/>
      <c r="AA75" s="70"/>
      <c r="AB75"/>
      <c r="AC75"/>
      <c r="AD75"/>
      <c r="AE75"/>
      <c r="AF75"/>
      <c r="AG75"/>
      <c r="AH75"/>
      <c r="AI75"/>
      <c r="AJ75"/>
    </row>
    <row r="76" spans="1:36" s="1" customFormat="1" ht="14" thickBot="1">
      <c r="A76" s="47">
        <v>8</v>
      </c>
      <c r="B76" s="48">
        <v>4.62</v>
      </c>
      <c r="C76" s="48">
        <v>0.11</v>
      </c>
      <c r="D76" s="48">
        <v>2.2599999999999998</v>
      </c>
      <c r="E76" s="48">
        <v>6.88</v>
      </c>
      <c r="F76" s="56">
        <v>1.49</v>
      </c>
      <c r="G76" s="48">
        <v>6</v>
      </c>
      <c r="H76" s="39"/>
      <c r="I76" s="48">
        <v>63</v>
      </c>
      <c r="J76" s="48">
        <v>1.42</v>
      </c>
      <c r="K76" s="39"/>
      <c r="L76" s="48">
        <v>1.65</v>
      </c>
      <c r="M76" s="16"/>
      <c r="N76" s="16"/>
      <c r="O76"/>
      <c r="P76"/>
      <c r="Q76"/>
      <c r="R76"/>
      <c r="S76"/>
      <c r="T76"/>
      <c r="U76"/>
      <c r="Y76" s="70"/>
      <c r="Z76"/>
      <c r="AA76" s="70"/>
      <c r="AB76"/>
      <c r="AC76"/>
      <c r="AD76"/>
      <c r="AE76"/>
      <c r="AF76"/>
      <c r="AG76"/>
      <c r="AH76"/>
      <c r="AI76"/>
      <c r="AJ76"/>
    </row>
    <row r="77" spans="1:36" s="1" customFormat="1" ht="14" thickBot="1">
      <c r="A77" s="47">
        <v>9</v>
      </c>
      <c r="B77" s="48">
        <v>6.1</v>
      </c>
      <c r="C77" s="48">
        <v>0.125</v>
      </c>
      <c r="D77" s="48">
        <v>2.76</v>
      </c>
      <c r="E77" s="48">
        <v>9.64</v>
      </c>
      <c r="F77" s="56">
        <v>1.58</v>
      </c>
      <c r="G77" s="48">
        <v>7</v>
      </c>
      <c r="H77" s="39"/>
      <c r="I77" s="48">
        <v>68</v>
      </c>
      <c r="J77" s="48">
        <v>1.62</v>
      </c>
      <c r="K77" s="39"/>
      <c r="L77" s="48">
        <v>1.72</v>
      </c>
      <c r="M77" s="16"/>
      <c r="N77" s="16"/>
      <c r="O77"/>
      <c r="P77"/>
      <c r="Q77"/>
      <c r="R77"/>
      <c r="S77"/>
      <c r="T77"/>
      <c r="U77"/>
      <c r="Y77" s="70"/>
      <c r="Z77"/>
      <c r="AA77" s="70"/>
      <c r="AB77"/>
      <c r="AC77"/>
      <c r="AD77"/>
      <c r="AE77"/>
      <c r="AF77"/>
      <c r="AG77"/>
      <c r="AH77"/>
      <c r="AI77"/>
      <c r="AJ77"/>
    </row>
    <row r="78" spans="1:36" s="1" customFormat="1" ht="14" thickBot="1">
      <c r="A78" s="47">
        <v>10</v>
      </c>
      <c r="B78" s="48">
        <v>7.74</v>
      </c>
      <c r="C78" s="48">
        <v>0.13800000000000001</v>
      </c>
      <c r="D78" s="48">
        <v>3.13</v>
      </c>
      <c r="E78" s="48">
        <v>12.77</v>
      </c>
      <c r="F78" s="56">
        <v>1.65</v>
      </c>
      <c r="G78" s="48">
        <v>8</v>
      </c>
      <c r="H78" s="39"/>
      <c r="I78" s="48">
        <v>74</v>
      </c>
      <c r="J78" s="48">
        <v>1.81</v>
      </c>
      <c r="K78" s="39"/>
      <c r="L78" s="48">
        <v>1.79</v>
      </c>
      <c r="M78" s="16"/>
      <c r="N78" s="16"/>
      <c r="O78"/>
      <c r="P78"/>
      <c r="Q78"/>
      <c r="R78"/>
      <c r="S78"/>
      <c r="T78"/>
      <c r="U78"/>
      <c r="Y78" s="70"/>
      <c r="Z78"/>
      <c r="AA78" s="70"/>
      <c r="AB78"/>
      <c r="AC78"/>
      <c r="AD78"/>
      <c r="AE78"/>
      <c r="AF78"/>
      <c r="AG78"/>
      <c r="AH78"/>
      <c r="AI78"/>
      <c r="AJ78"/>
    </row>
    <row r="79" spans="1:36" s="1" customFormat="1" ht="14" thickBot="1">
      <c r="A79" s="47">
        <v>11</v>
      </c>
      <c r="B79" s="48">
        <v>9.5</v>
      </c>
      <c r="C79" s="48">
        <v>0.151</v>
      </c>
      <c r="D79" s="48">
        <v>3.57</v>
      </c>
      <c r="E79" s="48">
        <v>16.329999999999998</v>
      </c>
      <c r="F79" s="56">
        <v>1.72</v>
      </c>
      <c r="G79" s="48">
        <v>9</v>
      </c>
      <c r="H79" s="39"/>
      <c r="I79" s="48">
        <v>77</v>
      </c>
      <c r="J79" s="48">
        <v>1.9</v>
      </c>
      <c r="K79" s="39"/>
      <c r="L79" s="48">
        <v>1.88</v>
      </c>
      <c r="M79" s="16"/>
      <c r="N79" s="16"/>
      <c r="O79"/>
      <c r="P79"/>
      <c r="Q79"/>
      <c r="R79"/>
      <c r="S79"/>
      <c r="T79"/>
      <c r="U79"/>
      <c r="Y79" s="70"/>
      <c r="Z79"/>
      <c r="AA79" s="70"/>
      <c r="AB79"/>
      <c r="AC79"/>
      <c r="AD79"/>
      <c r="AE79"/>
      <c r="AF79"/>
      <c r="AG79"/>
      <c r="AH79"/>
      <c r="AI79"/>
      <c r="AJ79"/>
    </row>
    <row r="80" spans="1:36" s="1" customFormat="1" ht="14" thickBot="1">
      <c r="A80" s="47">
        <v>12</v>
      </c>
      <c r="B80" s="48">
        <v>11.35</v>
      </c>
      <c r="C80" s="48">
        <v>0.16200000000000001</v>
      </c>
      <c r="D80" s="48">
        <v>3.98</v>
      </c>
      <c r="E80" s="48">
        <v>20.32</v>
      </c>
      <c r="F80" s="56">
        <v>1.79</v>
      </c>
      <c r="G80" s="48">
        <v>10</v>
      </c>
      <c r="H80" s="39"/>
      <c r="I80" s="48">
        <v>79</v>
      </c>
      <c r="J80" s="48">
        <v>1.9</v>
      </c>
      <c r="K80" s="39"/>
      <c r="L80" s="48">
        <v>1.96</v>
      </c>
      <c r="M80" s="16"/>
      <c r="N80" s="16"/>
      <c r="O80"/>
      <c r="P80"/>
      <c r="Q80"/>
      <c r="R80"/>
      <c r="S80"/>
      <c r="T80"/>
      <c r="U80"/>
      <c r="Y80" s="70"/>
      <c r="Z80"/>
      <c r="AA80" s="70"/>
      <c r="AB80"/>
      <c r="AC80"/>
      <c r="AD80"/>
      <c r="AE80"/>
      <c r="AF80"/>
      <c r="AG80"/>
      <c r="AH80"/>
      <c r="AI80"/>
      <c r="AJ80"/>
    </row>
    <row r="81" spans="1:36" s="1" customFormat="1" ht="14" thickBot="1">
      <c r="A81" s="39"/>
      <c r="B81" s="48">
        <v>13.03</v>
      </c>
      <c r="C81" s="48">
        <v>0.16900000000000001</v>
      </c>
      <c r="D81" s="48">
        <v>4.18</v>
      </c>
      <c r="E81" s="48">
        <v>24.5</v>
      </c>
      <c r="F81" s="56">
        <v>1.88</v>
      </c>
      <c r="G81" s="48">
        <v>11</v>
      </c>
      <c r="H81" s="39"/>
      <c r="I81" s="39"/>
      <c r="J81" s="16"/>
      <c r="K81" s="16"/>
      <c r="L81" s="16"/>
      <c r="M81" s="16"/>
      <c r="N81" s="16"/>
      <c r="O81"/>
      <c r="P81"/>
      <c r="Q81"/>
      <c r="R81"/>
      <c r="S81"/>
      <c r="T81"/>
      <c r="U81"/>
      <c r="Y81" s="70"/>
      <c r="Z81"/>
      <c r="AA81" s="70"/>
      <c r="AB81"/>
      <c r="AC81"/>
      <c r="AD81"/>
      <c r="AE81"/>
      <c r="AF81"/>
      <c r="AG81"/>
      <c r="AH81"/>
      <c r="AI81"/>
      <c r="AJ81"/>
    </row>
    <row r="82" spans="1:36" s="1" customFormat="1" ht="14" thickBot="1">
      <c r="A82" s="39"/>
      <c r="B82" s="48">
        <v>14.63</v>
      </c>
      <c r="C82" s="48">
        <v>0.17399999999999999</v>
      </c>
      <c r="D82" s="48">
        <v>4.18</v>
      </c>
      <c r="E82" s="48">
        <v>28.67</v>
      </c>
      <c r="F82" s="56">
        <v>1.96</v>
      </c>
      <c r="G82" s="48">
        <v>12</v>
      </c>
      <c r="H82" s="39"/>
      <c r="I82" s="39"/>
      <c r="J82" s="16"/>
      <c r="K82" s="16"/>
      <c r="L82" s="16"/>
      <c r="M82" s="16"/>
      <c r="N82" s="16"/>
      <c r="O82"/>
      <c r="P82"/>
      <c r="Q82"/>
      <c r="R82"/>
      <c r="S82"/>
      <c r="T82"/>
      <c r="U82"/>
      <c r="Y82" s="70"/>
      <c r="Z82"/>
      <c r="AA82" s="70"/>
      <c r="AB82"/>
      <c r="AC82"/>
      <c r="AD82"/>
      <c r="AE82"/>
      <c r="AF82"/>
      <c r="AG82"/>
      <c r="AH82"/>
      <c r="AI82"/>
      <c r="AJ82"/>
    </row>
    <row r="83" spans="1:36" s="1" customFormat="1">
      <c r="A83" s="39"/>
      <c r="B83" s="39"/>
      <c r="C83" s="39"/>
      <c r="D83" s="39"/>
      <c r="E83" s="39"/>
      <c r="F83" s="5"/>
      <c r="G83" s="39"/>
      <c r="H83" s="39"/>
      <c r="I83" s="15">
        <v>0.14000000000000001</v>
      </c>
      <c r="J83" s="15">
        <v>0.13</v>
      </c>
      <c r="K83" s="16"/>
      <c r="L83" s="16"/>
      <c r="M83" s="16"/>
      <c r="N83" s="16"/>
      <c r="O83"/>
      <c r="P83"/>
      <c r="Q83"/>
      <c r="R83"/>
      <c r="S83"/>
      <c r="T83"/>
      <c r="U83"/>
      <c r="Y83" s="70"/>
      <c r="Z83"/>
      <c r="AA83" s="70"/>
      <c r="AB83"/>
      <c r="AC83"/>
      <c r="AD83"/>
      <c r="AE83"/>
      <c r="AF83"/>
      <c r="AG83"/>
      <c r="AH83"/>
      <c r="AI83"/>
      <c r="AJ83"/>
    </row>
    <row r="84" spans="1:36" s="1" customFormat="1">
      <c r="A84" s="39"/>
      <c r="B84" s="39"/>
      <c r="C84" s="39"/>
      <c r="D84" s="39"/>
      <c r="E84" s="39"/>
      <c r="F84" s="5"/>
      <c r="G84" s="39"/>
      <c r="H84" s="39"/>
      <c r="I84" s="15">
        <v>0.34</v>
      </c>
      <c r="J84" s="15">
        <v>0.3</v>
      </c>
      <c r="K84" s="16"/>
      <c r="L84" s="16"/>
      <c r="M84" s="16"/>
      <c r="N84" s="16"/>
      <c r="O84"/>
      <c r="P84"/>
      <c r="Q84"/>
      <c r="R84"/>
      <c r="S84"/>
      <c r="T84"/>
      <c r="U84"/>
      <c r="Y84" s="70"/>
      <c r="Z84"/>
      <c r="AA84" s="70"/>
      <c r="AB84"/>
      <c r="AC84"/>
      <c r="AD84"/>
      <c r="AE84"/>
      <c r="AF84"/>
      <c r="AG84"/>
      <c r="AH84"/>
      <c r="AI84"/>
      <c r="AJ84"/>
    </row>
    <row r="85" spans="1:36" s="1" customFormat="1">
      <c r="A85" s="39"/>
      <c r="B85" s="39"/>
      <c r="C85" s="39"/>
      <c r="D85" s="39"/>
      <c r="E85" s="39"/>
      <c r="F85" s="5"/>
      <c r="G85" s="39"/>
      <c r="I85" s="15">
        <v>0.77</v>
      </c>
      <c r="J85" s="15">
        <v>0.62</v>
      </c>
      <c r="K85" s="16"/>
      <c r="L85" s="16"/>
      <c r="M85" s="16"/>
      <c r="N85" s="16"/>
      <c r="O85"/>
      <c r="P85"/>
      <c r="Q85"/>
      <c r="R85"/>
      <c r="S85"/>
      <c r="T85"/>
      <c r="U85"/>
      <c r="Y85" s="70"/>
      <c r="Z85"/>
      <c r="AA85" s="70"/>
      <c r="AB85"/>
      <c r="AC85"/>
      <c r="AD85"/>
      <c r="AE85"/>
      <c r="AF85"/>
      <c r="AG85"/>
      <c r="AH85"/>
      <c r="AI85"/>
      <c r="AJ85"/>
    </row>
    <row r="86" spans="1:36" s="1" customFormat="1">
      <c r="A86" s="39"/>
      <c r="B86" s="39"/>
      <c r="C86" s="39"/>
      <c r="D86" s="39"/>
      <c r="E86" s="39"/>
      <c r="F86" s="5"/>
      <c r="G86" s="39"/>
      <c r="I86" s="15">
        <v>1.34</v>
      </c>
      <c r="J86" s="15">
        <v>1.03</v>
      </c>
      <c r="K86" s="16"/>
      <c r="L86" s="16"/>
      <c r="M86" s="16"/>
      <c r="N86" s="16"/>
      <c r="O86"/>
      <c r="P86"/>
      <c r="Q86"/>
      <c r="R86"/>
      <c r="S86"/>
      <c r="T86"/>
      <c r="U86"/>
      <c r="Y86" s="70"/>
      <c r="Z86"/>
      <c r="AA86" s="70"/>
      <c r="AB86"/>
      <c r="AC86"/>
      <c r="AD86"/>
      <c r="AE86"/>
      <c r="AF86"/>
      <c r="AG86"/>
      <c r="AH86"/>
      <c r="AI86"/>
      <c r="AJ86"/>
    </row>
    <row r="87" spans="1:36" s="1" customFormat="1">
      <c r="A87" s="39"/>
      <c r="B87" s="39"/>
      <c r="C87" s="39"/>
      <c r="D87" s="39"/>
      <c r="E87" s="39"/>
      <c r="F87" s="5"/>
      <c r="G87" s="39"/>
      <c r="I87" s="15">
        <v>2.1</v>
      </c>
      <c r="J87" s="15">
        <v>1.5</v>
      </c>
      <c r="K87" s="16"/>
      <c r="L87" s="16"/>
      <c r="M87" s="16"/>
      <c r="N87" s="16"/>
      <c r="O87"/>
      <c r="P87"/>
      <c r="Q87"/>
      <c r="R87"/>
      <c r="S87"/>
      <c r="T87"/>
      <c r="U87"/>
      <c r="Y87" s="70"/>
      <c r="Z87"/>
      <c r="AA87" s="70"/>
      <c r="AB87"/>
      <c r="AC87"/>
      <c r="AD87"/>
      <c r="AE87"/>
      <c r="AF87"/>
      <c r="AG87"/>
      <c r="AH87"/>
      <c r="AI87"/>
      <c r="AJ87"/>
    </row>
    <row r="88" spans="1:36" s="1" customFormat="1">
      <c r="A88" s="39"/>
      <c r="B88" s="39"/>
      <c r="C88" s="39"/>
      <c r="D88" s="39"/>
      <c r="E88" s="39"/>
      <c r="F88" s="5"/>
      <c r="G88" s="39"/>
      <c r="I88" s="15">
        <v>3.12</v>
      </c>
      <c r="J88" s="15">
        <v>2.09</v>
      </c>
      <c r="K88" s="16"/>
      <c r="L88" s="16"/>
      <c r="M88" s="16"/>
      <c r="N88" s="16"/>
      <c r="O88"/>
      <c r="P88"/>
      <c r="Q88"/>
      <c r="R88"/>
      <c r="S88"/>
      <c r="T88"/>
      <c r="U88"/>
      <c r="Y88" s="70"/>
      <c r="Z88"/>
      <c r="AA88" s="70"/>
      <c r="AB88"/>
      <c r="AC88"/>
      <c r="AD88"/>
      <c r="AE88"/>
      <c r="AF88"/>
      <c r="AG88"/>
      <c r="AH88"/>
      <c r="AI88"/>
      <c r="AJ88"/>
    </row>
    <row r="89" spans="1:36" s="1" customFormat="1">
      <c r="A89" s="39"/>
      <c r="B89" s="39"/>
      <c r="C89" s="39"/>
      <c r="D89" s="39"/>
      <c r="E89" s="39"/>
      <c r="F89" s="5"/>
      <c r="G89" s="39"/>
      <c r="I89" s="15">
        <v>4.37</v>
      </c>
      <c r="J89" s="15">
        <v>2.77</v>
      </c>
      <c r="K89" s="16"/>
      <c r="L89" s="16"/>
      <c r="M89" s="16"/>
      <c r="N89" s="16"/>
      <c r="O89"/>
      <c r="P89"/>
      <c r="Q89"/>
      <c r="R89"/>
      <c r="S89"/>
      <c r="T89"/>
      <c r="U89"/>
      <c r="Y89" s="70"/>
      <c r="Z89"/>
      <c r="AA89" s="70"/>
      <c r="AB89"/>
      <c r="AC89"/>
      <c r="AD89"/>
      <c r="AE89"/>
      <c r="AF89"/>
      <c r="AG89"/>
      <c r="AH89"/>
      <c r="AI89"/>
      <c r="AJ89"/>
    </row>
    <row r="90" spans="1:36" s="1" customFormat="1">
      <c r="A90" s="39"/>
      <c r="B90" s="39"/>
      <c r="C90" s="39"/>
      <c r="D90" s="39"/>
      <c r="E90" s="39"/>
      <c r="F90" s="5"/>
      <c r="G90" s="39"/>
      <c r="I90" s="15">
        <v>5.79</v>
      </c>
      <c r="J90" s="15">
        <v>3.51</v>
      </c>
      <c r="K90" s="16"/>
      <c r="L90" s="16"/>
      <c r="M90" s="16"/>
      <c r="N90" s="16"/>
      <c r="O90"/>
      <c r="P90"/>
      <c r="Q90"/>
      <c r="R90"/>
      <c r="S90"/>
      <c r="T90"/>
      <c r="U90"/>
      <c r="Y90" s="70"/>
      <c r="Z90"/>
      <c r="AA90" s="70"/>
      <c r="AB90"/>
      <c r="AC90"/>
      <c r="AD90"/>
      <c r="AE90"/>
      <c r="AF90"/>
      <c r="AG90"/>
      <c r="AH90"/>
      <c r="AI90"/>
      <c r="AJ90"/>
    </row>
    <row r="91" spans="1:36">
      <c r="C91" s="39"/>
      <c r="D91" s="39"/>
      <c r="E91" s="39"/>
      <c r="F91" s="5"/>
      <c r="G91" s="39"/>
      <c r="H91" s="1"/>
      <c r="I91" s="15">
        <v>7.41</v>
      </c>
      <c r="J91" s="15">
        <v>4.3099999999999996</v>
      </c>
    </row>
    <row r="92" spans="1:36">
      <c r="C92" s="39"/>
      <c r="D92" s="39"/>
      <c r="E92" s="39"/>
      <c r="F92" s="5"/>
      <c r="G92" s="39"/>
      <c r="H92" s="1"/>
      <c r="I92" s="15">
        <v>9.2200000000000006</v>
      </c>
      <c r="J92" s="15">
        <v>5.15</v>
      </c>
    </row>
    <row r="93" spans="1:36">
      <c r="I93" s="15">
        <v>11.11</v>
      </c>
      <c r="J93" s="15">
        <v>5.91</v>
      </c>
    </row>
    <row r="94" spans="1:36">
      <c r="I94" s="15">
        <v>13.01</v>
      </c>
      <c r="J94" s="15">
        <v>6.64</v>
      </c>
    </row>
  </sheetData>
  <mergeCells count="3">
    <mergeCell ref="F9:H9"/>
    <mergeCell ref="C12:D13"/>
    <mergeCell ref="B1:H7"/>
  </mergeCells>
  <pageMargins left="0.75" right="0.75" top="1" bottom="1" header="0.5" footer="0.5"/>
  <pageSetup orientation="portrait" horizontalDpi="360" verticalDpi="36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J94"/>
  <sheetViews>
    <sheetView showGridLines="0" topLeftCell="X9" zoomScale="187" zoomScaleNormal="187" workbookViewId="0">
      <selection activeCell="AI20" sqref="AI20"/>
    </sheetView>
  </sheetViews>
  <sheetFormatPr baseColWidth="10" defaultColWidth="9.6640625" defaultRowHeight="13"/>
  <cols>
    <col min="1" max="1" width="9.6640625" style="39"/>
    <col min="2" max="2" width="4.1640625" style="39" customWidth="1"/>
    <col min="3" max="3" width="19" style="16" customWidth="1"/>
    <col min="4" max="5" width="9.6640625" style="16"/>
    <col min="6" max="6" width="9.6640625" style="57"/>
    <col min="7" max="7" width="9.5" style="16" customWidth="1"/>
    <col min="8" max="14" width="9.6640625" style="16"/>
  </cols>
  <sheetData>
    <row r="1" spans="1:34">
      <c r="A1" s="17"/>
      <c r="B1" s="225" t="s">
        <v>47</v>
      </c>
      <c r="C1" s="225"/>
      <c r="D1" s="225"/>
      <c r="E1" s="225"/>
      <c r="F1" s="225"/>
      <c r="G1" s="225"/>
      <c r="H1" s="225"/>
      <c r="I1" s="18"/>
    </row>
    <row r="2" spans="1:34">
      <c r="A2" s="17"/>
      <c r="B2" s="225"/>
      <c r="C2" s="225"/>
      <c r="D2" s="225"/>
      <c r="E2" s="225"/>
      <c r="F2" s="225"/>
      <c r="G2" s="225"/>
      <c r="H2" s="225"/>
      <c r="I2" s="18"/>
    </row>
    <row r="3" spans="1:34" s="1" customFormat="1">
      <c r="A3" s="19"/>
      <c r="B3" s="225"/>
      <c r="C3" s="225"/>
      <c r="D3" s="225"/>
      <c r="E3" s="225"/>
      <c r="F3" s="225"/>
      <c r="G3" s="225"/>
      <c r="H3" s="225"/>
      <c r="I3" s="20"/>
      <c r="J3" s="21"/>
      <c r="K3" s="21"/>
      <c r="L3" s="21"/>
      <c r="M3" s="21"/>
      <c r="N3" s="21"/>
      <c r="O3" s="7"/>
      <c r="P3" s="7"/>
      <c r="Q3" s="7"/>
      <c r="R3" s="7"/>
      <c r="S3" s="7"/>
      <c r="T3" s="7"/>
      <c r="U3" s="7"/>
    </row>
    <row r="4" spans="1:34" s="1" customFormat="1">
      <c r="A4" s="19"/>
      <c r="B4" s="225"/>
      <c r="C4" s="225"/>
      <c r="D4" s="225"/>
      <c r="E4" s="225"/>
      <c r="F4" s="225"/>
      <c r="G4" s="225"/>
      <c r="H4" s="225"/>
      <c r="I4" s="20"/>
      <c r="J4" s="21"/>
      <c r="K4" s="21"/>
      <c r="L4" s="21"/>
      <c r="M4" s="21"/>
      <c r="N4" s="21"/>
      <c r="O4" s="7"/>
      <c r="P4" s="7"/>
      <c r="Q4" s="7"/>
      <c r="R4" s="7"/>
      <c r="S4" s="7"/>
      <c r="T4" s="7"/>
      <c r="U4" s="7"/>
      <c r="V4" s="2" t="s">
        <v>0</v>
      </c>
      <c r="W4" s="3">
        <f>$F$11+$F$12*F16+$F$13*F16*F16</f>
        <v>4.408187412587413</v>
      </c>
    </row>
    <row r="5" spans="1:34" s="1" customFormat="1" ht="13" customHeight="1">
      <c r="A5" s="19"/>
      <c r="B5" s="225"/>
      <c r="C5" s="225"/>
      <c r="D5" s="225"/>
      <c r="E5" s="225"/>
      <c r="F5" s="225"/>
      <c r="G5" s="225"/>
      <c r="H5" s="225"/>
      <c r="I5" s="20"/>
      <c r="J5" s="21"/>
      <c r="K5" s="21"/>
      <c r="L5" s="21"/>
      <c r="M5" s="21"/>
      <c r="N5" s="21"/>
      <c r="O5" s="7"/>
      <c r="P5" s="7"/>
      <c r="Q5" s="7"/>
      <c r="R5" s="7"/>
      <c r="S5" s="7"/>
      <c r="T5" s="7"/>
      <c r="U5" s="7"/>
      <c r="V5" s="2" t="s">
        <v>1</v>
      </c>
      <c r="W5" s="3">
        <f>F15-W4</f>
        <v>3.591812587412587</v>
      </c>
    </row>
    <row r="6" spans="1:34" s="1" customFormat="1" ht="15" customHeight="1">
      <c r="A6" s="19"/>
      <c r="B6" s="225"/>
      <c r="C6" s="225"/>
      <c r="D6" s="225"/>
      <c r="E6" s="225"/>
      <c r="F6" s="225"/>
      <c r="G6" s="225"/>
      <c r="H6" s="225"/>
      <c r="I6" s="20"/>
      <c r="J6" s="21"/>
      <c r="K6" s="21"/>
      <c r="L6" s="21"/>
      <c r="M6" s="21"/>
      <c r="N6" s="21"/>
      <c r="O6" s="7"/>
      <c r="P6" s="7"/>
      <c r="Q6" s="7"/>
      <c r="R6" s="7"/>
      <c r="S6" s="7"/>
      <c r="T6" s="7"/>
      <c r="U6" s="7"/>
      <c r="V6" s="66" t="s">
        <v>4</v>
      </c>
      <c r="W6" s="4">
        <f>F11+W4/F15*W5</f>
        <v>1.8151938585466267</v>
      </c>
    </row>
    <row r="7" spans="1:34" s="1" customFormat="1" ht="15" customHeight="1" thickBot="1">
      <c r="A7" s="19"/>
      <c r="B7" s="226"/>
      <c r="C7" s="226"/>
      <c r="D7" s="226"/>
      <c r="E7" s="226"/>
      <c r="F7" s="226"/>
      <c r="G7" s="226"/>
      <c r="H7" s="226"/>
      <c r="I7" s="20"/>
      <c r="J7" s="21"/>
      <c r="K7" s="21"/>
      <c r="L7" s="21"/>
      <c r="M7" s="21"/>
      <c r="N7" s="21"/>
      <c r="O7" s="7"/>
      <c r="P7" s="7"/>
      <c r="Q7" s="7"/>
      <c r="R7" s="7"/>
      <c r="S7" s="7"/>
      <c r="T7" s="7"/>
      <c r="U7" s="7"/>
    </row>
    <row r="8" spans="1:34" s="1" customFormat="1" ht="15" customHeight="1">
      <c r="A8" s="19"/>
      <c r="B8" s="16"/>
      <c r="C8" s="22"/>
      <c r="D8" s="23"/>
      <c r="E8" s="23"/>
      <c r="F8" s="51"/>
      <c r="G8" s="23"/>
      <c r="H8" s="23"/>
      <c r="I8" s="30"/>
      <c r="J8" s="31"/>
      <c r="K8" s="31"/>
      <c r="M8" s="31"/>
      <c r="N8" s="31"/>
      <c r="P8" s="8"/>
      <c r="Q8" s="8"/>
      <c r="R8" s="8"/>
      <c r="S8" s="8"/>
      <c r="T8" s="8"/>
      <c r="U8" s="8"/>
      <c r="Y8" s="5" t="s">
        <v>6</v>
      </c>
      <c r="AA8" s="5" t="s">
        <v>7</v>
      </c>
      <c r="AB8" s="2" t="s">
        <v>8</v>
      </c>
      <c r="AC8" s="5" t="s">
        <v>9</v>
      </c>
      <c r="AD8" s="5" t="s">
        <v>10</v>
      </c>
      <c r="AE8" s="5" t="s">
        <v>11</v>
      </c>
      <c r="AF8" s="5" t="s">
        <v>12</v>
      </c>
      <c r="AG8" s="5" t="s">
        <v>13</v>
      </c>
      <c r="AH8" s="5" t="s">
        <v>14</v>
      </c>
    </row>
    <row r="9" spans="1:34" s="1" customFormat="1" ht="15" customHeight="1" thickBot="1">
      <c r="A9" s="19"/>
      <c r="B9" s="24" t="s">
        <v>44</v>
      </c>
      <c r="C9" s="16"/>
      <c r="D9" s="25"/>
      <c r="E9" s="25"/>
      <c r="F9" s="220"/>
      <c r="G9" s="220"/>
      <c r="H9" s="220"/>
      <c r="I9" s="30"/>
      <c r="J9" s="31"/>
      <c r="K9" s="31"/>
      <c r="L9" s="25"/>
      <c r="M9" s="31"/>
      <c r="N9" s="31"/>
      <c r="P9" s="8"/>
      <c r="Q9" s="8"/>
      <c r="R9" s="8"/>
      <c r="S9" s="8"/>
      <c r="T9" s="8"/>
      <c r="U9" s="26" t="s">
        <v>3</v>
      </c>
      <c r="Y9" s="5" t="s">
        <v>16</v>
      </c>
      <c r="Z9" s="5" t="s">
        <v>17</v>
      </c>
      <c r="AA9" s="5" t="s">
        <v>18</v>
      </c>
    </row>
    <row r="10" spans="1:34" s="1" customFormat="1" ht="15" customHeight="1">
      <c r="A10" s="19"/>
      <c r="B10" s="25"/>
      <c r="C10" s="25"/>
      <c r="D10" s="25"/>
      <c r="E10" s="25"/>
      <c r="F10" s="49"/>
      <c r="G10" s="25"/>
      <c r="I10" s="30"/>
      <c r="J10" s="31"/>
      <c r="K10" s="31"/>
      <c r="M10" s="31"/>
      <c r="N10" s="31"/>
      <c r="P10" s="8"/>
      <c r="Q10" s="8"/>
      <c r="R10" s="8"/>
      <c r="S10" s="8"/>
      <c r="T10" s="8"/>
      <c r="U10" s="8"/>
      <c r="V10" s="4"/>
      <c r="Y10" s="6">
        <v>1.4693679385278594E-39</v>
      </c>
      <c r="Z10" s="3">
        <f>$F$11+$F$12*Y10+$F$13*Y10*Y10</f>
        <v>-0.16397902097902239</v>
      </c>
      <c r="AA10" s="3">
        <f>$F$11+$F$12*Y10+$F$13*Y10*Y10+(Z10/$W$4)*$W$5</f>
        <v>-0.29758992643695042</v>
      </c>
      <c r="AB10" s="3">
        <f t="shared" ref="AB10:AB19" si="0">Y10^2</f>
        <v>2.1590421387736112E-78</v>
      </c>
      <c r="AC10" s="3">
        <f t="shared" ref="AC10:AC19" si="1">Y10^2</f>
        <v>2.1590421387736112E-78</v>
      </c>
      <c r="AD10" s="3">
        <f t="shared" ref="AD10:AD19" si="2">AB10^2</f>
        <v>4.6614629570001292E-156</v>
      </c>
      <c r="AE10" s="3">
        <f t="shared" ref="AE10:AE19" si="3">AA10^2</f>
        <v>8.855976431674957E-2</v>
      </c>
      <c r="AF10" s="3">
        <f t="shared" ref="AF10:AF19" si="4">Y10*AA10</f>
        <v>-4.3726909673531917E-40</v>
      </c>
      <c r="AG10" s="3">
        <f t="shared" ref="AG10:AG19" si="5">AB10*AA10</f>
        <v>-6.4250919125191505E-79</v>
      </c>
      <c r="AH10" s="1">
        <f t="shared" ref="AH10:AH19" si="6">Y10^3</f>
        <v>3.1724272966445615E-117</v>
      </c>
    </row>
    <row r="11" spans="1:34" s="1" customFormat="1" ht="15" customHeight="1" thickBot="1">
      <c r="A11" s="19"/>
      <c r="B11" s="24"/>
      <c r="C11" s="25"/>
      <c r="D11" s="25"/>
      <c r="E11" s="27" t="s">
        <v>5</v>
      </c>
      <c r="F11" s="52">
        <f>'Instructiona &amp; Inputs'!F68</f>
        <v>-0.16397902097902239</v>
      </c>
      <c r="G11" s="28">
        <f>AD53</f>
        <v>-0.2975899264369275</v>
      </c>
      <c r="I11" s="32"/>
      <c r="J11" s="33"/>
      <c r="K11" s="33"/>
      <c r="M11" s="33"/>
      <c r="N11" s="33"/>
      <c r="P11" s="9"/>
      <c r="Q11" s="9"/>
      <c r="R11" s="9"/>
      <c r="S11" s="9"/>
      <c r="T11" s="9"/>
      <c r="U11" s="29">
        <f>AD53</f>
        <v>-0.2975899264369275</v>
      </c>
      <c r="V11" s="4"/>
      <c r="Y11" s="6">
        <f>Y10+2.3</f>
        <v>2.2999999999999998</v>
      </c>
      <c r="Z11" s="3">
        <f>$F$11+$F$12*Y11+$F$13*Y11*Y11</f>
        <v>-8.7824178440608372E-2</v>
      </c>
      <c r="AA11" s="3">
        <f>$F$11+$F$12*Y11+$F$13*Y11*Y11+(Z11/$W$4)*$W$5</f>
        <v>-0.15938374705182407</v>
      </c>
      <c r="AB11" s="3">
        <f t="shared" si="0"/>
        <v>5.2899999999999991</v>
      </c>
      <c r="AC11" s="3">
        <f t="shared" si="1"/>
        <v>5.2899999999999991</v>
      </c>
      <c r="AD11" s="3">
        <f t="shared" si="2"/>
        <v>27.984099999999991</v>
      </c>
      <c r="AE11" s="3">
        <f t="shared" si="3"/>
        <v>2.5403178824279837E-2</v>
      </c>
      <c r="AF11" s="3">
        <f t="shared" si="4"/>
        <v>-0.3665826182191953</v>
      </c>
      <c r="AG11" s="3">
        <f t="shared" si="5"/>
        <v>-0.84314002190414916</v>
      </c>
      <c r="AH11" s="1">
        <f t="shared" si="6"/>
        <v>12.166999999999996</v>
      </c>
    </row>
    <row r="12" spans="1:34" s="1" customFormat="1" ht="15">
      <c r="A12" s="19"/>
      <c r="C12" s="221" t="s">
        <v>45</v>
      </c>
      <c r="D12" s="227"/>
      <c r="E12" s="27" t="s">
        <v>15</v>
      </c>
      <c r="F12" s="52">
        <f>'Instructiona &amp; Inputs'!E68</f>
        <v>2.8722244422244452E-2</v>
      </c>
      <c r="G12" s="28">
        <f>AD54</f>
        <v>5.2125269157533793E-2</v>
      </c>
      <c r="I12" s="32"/>
      <c r="J12" s="33"/>
      <c r="K12" s="33"/>
      <c r="M12" s="33"/>
      <c r="N12" s="33"/>
      <c r="P12" s="9"/>
      <c r="Q12" s="9"/>
      <c r="R12" s="9"/>
      <c r="S12" s="9"/>
      <c r="T12" s="9"/>
      <c r="U12" s="29"/>
      <c r="V12" s="4"/>
      <c r="Y12" s="6">
        <f t="shared" ref="Y12:Y40" si="7">Y11+2.3</f>
        <v>4.5999999999999996</v>
      </c>
      <c r="Z12" s="3">
        <f t="shared" ref="Z12:Z40" si="8">$F$11+$F$12*Y12+$F$13*Y12*Y12</f>
        <v>8.5180248323092414E-3</v>
      </c>
      <c r="AA12" s="3">
        <f t="shared" ref="AA12:AA40" si="9">$F$11+$F$12*Y12+$F$13*Y12*Y12+(Z12/$W$4)*$W$5</f>
        <v>1.5458552978916174E-2</v>
      </c>
      <c r="AB12" s="3">
        <f t="shared" si="0"/>
        <v>21.159999999999997</v>
      </c>
      <c r="AC12" s="3">
        <f t="shared" si="1"/>
        <v>21.159999999999997</v>
      </c>
      <c r="AD12" s="3">
        <f t="shared" si="2"/>
        <v>447.74559999999985</v>
      </c>
      <c r="AE12" s="3">
        <f t="shared" si="3"/>
        <v>2.3896686020195813E-4</v>
      </c>
      <c r="AF12" s="3">
        <f t="shared" si="4"/>
        <v>7.1109343703014402E-2</v>
      </c>
      <c r="AG12" s="3">
        <f t="shared" si="5"/>
        <v>0.3271029810338662</v>
      </c>
      <c r="AH12" s="1">
        <f t="shared" si="6"/>
        <v>97.33599999999997</v>
      </c>
    </row>
    <row r="13" spans="1:34" s="1" customFormat="1" ht="16" thickBot="1">
      <c r="A13" s="19"/>
      <c r="C13" s="223"/>
      <c r="D13" s="228"/>
      <c r="E13" s="27" t="s">
        <v>19</v>
      </c>
      <c r="F13" s="52">
        <f>'Instructiona &amp; Inputs'!D68</f>
        <v>1.9080681223538364E-3</v>
      </c>
      <c r="G13" s="28">
        <f>AD55*-1</f>
        <v>-3.4627713275627303E-3</v>
      </c>
      <c r="I13" s="32"/>
      <c r="J13" s="33"/>
      <c r="K13" s="33"/>
      <c r="M13" s="33"/>
      <c r="N13" s="33"/>
      <c r="P13" s="9"/>
      <c r="Q13" s="9"/>
      <c r="R13" s="9"/>
      <c r="S13" s="9"/>
      <c r="T13" s="9"/>
      <c r="U13" s="29"/>
      <c r="V13" s="4"/>
      <c r="Y13" s="6">
        <f t="shared" si="7"/>
        <v>6.8999999999999995</v>
      </c>
      <c r="Z13" s="3">
        <f t="shared" si="8"/>
        <v>0.12504758883973047</v>
      </c>
      <c r="AA13" s="3">
        <f t="shared" si="9"/>
        <v>0.22693697365527027</v>
      </c>
      <c r="AB13" s="3">
        <f t="shared" si="0"/>
        <v>47.609999999999992</v>
      </c>
      <c r="AC13" s="3">
        <f t="shared" si="1"/>
        <v>47.609999999999992</v>
      </c>
      <c r="AD13" s="3">
        <f t="shared" si="2"/>
        <v>2266.7120999999993</v>
      </c>
      <c r="AE13" s="3">
        <f t="shared" si="3"/>
        <v>5.1500390011812829E-2</v>
      </c>
      <c r="AF13" s="3">
        <f t="shared" si="4"/>
        <v>1.5658651182213648</v>
      </c>
      <c r="AG13" s="3">
        <f t="shared" si="5"/>
        <v>10.804469315727415</v>
      </c>
      <c r="AH13" s="1">
        <f t="shared" si="6"/>
        <v>328.5089999999999</v>
      </c>
    </row>
    <row r="14" spans="1:34" s="1" customFormat="1">
      <c r="A14" s="19"/>
      <c r="B14" s="25"/>
      <c r="C14" s="25"/>
      <c r="D14" s="25"/>
      <c r="E14" s="25"/>
      <c r="F14" s="49"/>
      <c r="G14" s="25"/>
      <c r="H14" s="25"/>
      <c r="I14" s="32"/>
      <c r="J14" s="33"/>
      <c r="K14" s="33"/>
      <c r="M14" s="33"/>
      <c r="N14" s="33"/>
      <c r="P14" s="9"/>
      <c r="Q14" s="9"/>
      <c r="R14" s="9"/>
      <c r="S14" s="9"/>
      <c r="T14" s="9"/>
      <c r="U14" s="29"/>
      <c r="V14" s="4"/>
      <c r="Y14" s="6">
        <f t="shared" si="7"/>
        <v>9.1999999999999993</v>
      </c>
      <c r="Z14" s="3">
        <f t="shared" si="8"/>
        <v>0.2617645135816552</v>
      </c>
      <c r="AA14" s="3">
        <f t="shared" si="9"/>
        <v>0.47505151497723802</v>
      </c>
      <c r="AB14" s="3">
        <f t="shared" si="0"/>
        <v>84.639999999999986</v>
      </c>
      <c r="AC14" s="3">
        <f t="shared" si="1"/>
        <v>84.639999999999986</v>
      </c>
      <c r="AD14" s="3">
        <f t="shared" si="2"/>
        <v>7163.9295999999977</v>
      </c>
      <c r="AE14" s="3">
        <f t="shared" si="3"/>
        <v>0.22567394188216899</v>
      </c>
      <c r="AF14" s="3">
        <f t="shared" si="4"/>
        <v>4.3704739377905897</v>
      </c>
      <c r="AG14" s="3">
        <f t="shared" si="5"/>
        <v>40.208360227673417</v>
      </c>
      <c r="AH14" s="1">
        <f t="shared" si="6"/>
        <v>778.68799999999976</v>
      </c>
    </row>
    <row r="15" spans="1:34" s="1" customFormat="1">
      <c r="A15" s="19"/>
      <c r="B15" s="63" t="s">
        <v>46</v>
      </c>
      <c r="C15" s="63"/>
      <c r="D15" s="63"/>
      <c r="E15" s="63"/>
      <c r="F15" s="62">
        <f>'Instructiona &amp; Inputs'!$D$22</f>
        <v>8</v>
      </c>
      <c r="G15" s="63"/>
      <c r="H15" s="63" t="s">
        <v>32</v>
      </c>
      <c r="I15" s="32"/>
      <c r="J15" s="33"/>
      <c r="K15" s="33"/>
      <c r="M15" s="33"/>
      <c r="N15" s="33"/>
      <c r="P15" s="9"/>
      <c r="Q15" s="9"/>
      <c r="R15" s="9"/>
      <c r="S15" s="9"/>
      <c r="T15" s="9"/>
      <c r="U15" s="29"/>
      <c r="V15" s="4"/>
      <c r="Y15" s="6">
        <f t="shared" si="7"/>
        <v>11.5</v>
      </c>
      <c r="Z15" s="3">
        <f t="shared" si="8"/>
        <v>0.41866879905808363</v>
      </c>
      <c r="AA15" s="3">
        <f t="shared" si="9"/>
        <v>0.75980217694481977</v>
      </c>
      <c r="AB15" s="3">
        <f t="shared" si="0"/>
        <v>132.25</v>
      </c>
      <c r="AC15" s="3">
        <f t="shared" si="1"/>
        <v>132.25</v>
      </c>
      <c r="AD15" s="3">
        <f t="shared" si="2"/>
        <v>17490.0625</v>
      </c>
      <c r="AE15" s="3">
        <f t="shared" si="3"/>
        <v>0.57729934809008721</v>
      </c>
      <c r="AF15" s="3">
        <f t="shared" si="4"/>
        <v>8.7377250348654272</v>
      </c>
      <c r="AG15" s="3">
        <f t="shared" si="5"/>
        <v>100.48383790095241</v>
      </c>
      <c r="AH15" s="1">
        <f t="shared" si="6"/>
        <v>1520.875</v>
      </c>
    </row>
    <row r="16" spans="1:34" s="1" customFormat="1">
      <c r="B16" s="63" t="s">
        <v>31</v>
      </c>
      <c r="C16" s="63"/>
      <c r="D16" s="63"/>
      <c r="E16" s="63"/>
      <c r="F16" s="64">
        <f>'Instructiona &amp; Inputs'!$C$22</f>
        <v>42</v>
      </c>
      <c r="G16" s="63"/>
      <c r="H16" s="63" t="s">
        <v>32</v>
      </c>
      <c r="I16" s="32"/>
      <c r="J16" s="33"/>
      <c r="K16" s="33"/>
      <c r="M16" s="33"/>
      <c r="N16" s="33"/>
      <c r="P16" s="9"/>
      <c r="Q16" s="9"/>
      <c r="R16" s="9"/>
      <c r="S16" s="9"/>
      <c r="T16" s="9"/>
      <c r="U16" s="29"/>
      <c r="V16" s="4"/>
      <c r="Y16" s="6">
        <f t="shared" si="7"/>
        <v>13.8</v>
      </c>
      <c r="Z16" s="3">
        <f t="shared" si="8"/>
        <v>0.59576044526901573</v>
      </c>
      <c r="AA16" s="3">
        <f t="shared" si="9"/>
        <v>1.0811889595580155</v>
      </c>
      <c r="AB16" s="3">
        <f t="shared" si="0"/>
        <v>190.44000000000003</v>
      </c>
      <c r="AC16" s="3">
        <f t="shared" si="1"/>
        <v>190.44000000000003</v>
      </c>
      <c r="AD16" s="3">
        <f t="shared" si="2"/>
        <v>36267.39360000001</v>
      </c>
      <c r="AE16" s="3">
        <f t="shared" si="3"/>
        <v>1.168969566270144</v>
      </c>
      <c r="AF16" s="3">
        <f t="shared" si="4"/>
        <v>14.920407641900615</v>
      </c>
      <c r="AG16" s="3">
        <f t="shared" si="5"/>
        <v>205.90162545822849</v>
      </c>
      <c r="AH16" s="1">
        <f t="shared" si="6"/>
        <v>2628.0720000000006</v>
      </c>
    </row>
    <row r="17" spans="1:34" s="1" customFormat="1">
      <c r="B17" s="34"/>
      <c r="C17" s="33"/>
      <c r="D17" s="33"/>
      <c r="E17" s="33"/>
      <c r="F17" s="60"/>
      <c r="G17" s="36"/>
      <c r="H17" s="33"/>
      <c r="I17" s="32"/>
      <c r="J17" s="33"/>
      <c r="K17" s="33"/>
      <c r="M17" s="33"/>
      <c r="N17" s="33"/>
      <c r="P17" s="9"/>
      <c r="Q17" s="9"/>
      <c r="R17" s="9"/>
      <c r="S17" s="9"/>
      <c r="T17" s="9"/>
      <c r="U17" s="29"/>
      <c r="V17" s="4"/>
      <c r="Y17" s="6">
        <f t="shared" si="7"/>
        <v>16.100000000000001</v>
      </c>
      <c r="Z17" s="3">
        <f t="shared" si="8"/>
        <v>0.79303945221445138</v>
      </c>
      <c r="AA17" s="3">
        <f t="shared" si="9"/>
        <v>1.4392118628168251</v>
      </c>
      <c r="AB17" s="3">
        <f t="shared" si="0"/>
        <v>259.21000000000004</v>
      </c>
      <c r="AC17" s="3">
        <f t="shared" si="1"/>
        <v>259.21000000000004</v>
      </c>
      <c r="AD17" s="3">
        <f t="shared" si="2"/>
        <v>67189.824100000013</v>
      </c>
      <c r="AE17" s="3">
        <f t="shared" si="3"/>
        <v>2.071330786072676</v>
      </c>
      <c r="AF17" s="3">
        <f t="shared" si="4"/>
        <v>23.171310991350886</v>
      </c>
      <c r="AG17" s="3">
        <f t="shared" si="5"/>
        <v>373.05810696074929</v>
      </c>
      <c r="AH17" s="1">
        <f t="shared" si="6"/>
        <v>4173.2810000000009</v>
      </c>
    </row>
    <row r="18" spans="1:34" s="1" customFormat="1">
      <c r="A18" s="19"/>
      <c r="B18"/>
      <c r="C18"/>
      <c r="D18"/>
      <c r="E18"/>
      <c r="F18" s="57"/>
      <c r="G18"/>
      <c r="H18"/>
      <c r="I18" s="32"/>
      <c r="J18" s="33"/>
      <c r="K18" s="33"/>
      <c r="M18" s="33"/>
      <c r="N18" s="33"/>
      <c r="P18" s="9"/>
      <c r="Q18" s="9"/>
      <c r="R18" s="9"/>
      <c r="S18" s="9"/>
      <c r="T18" s="9"/>
      <c r="U18" s="29"/>
      <c r="V18" s="4"/>
      <c r="Y18" s="6">
        <f t="shared" si="7"/>
        <v>18.400000000000002</v>
      </c>
      <c r="Z18" s="3">
        <f t="shared" si="8"/>
        <v>1.0105058198943906</v>
      </c>
      <c r="AA18" s="3">
        <f t="shared" si="9"/>
        <v>1.8338708867212483</v>
      </c>
      <c r="AB18" s="3">
        <f t="shared" si="0"/>
        <v>338.56000000000006</v>
      </c>
      <c r="AC18" s="3">
        <f t="shared" si="1"/>
        <v>338.56000000000006</v>
      </c>
      <c r="AD18" s="3">
        <f t="shared" si="2"/>
        <v>114622.87360000004</v>
      </c>
      <c r="AE18" s="3">
        <f t="shared" si="3"/>
        <v>3.3630824291637778</v>
      </c>
      <c r="AF18" s="3">
        <f t="shared" si="4"/>
        <v>33.743224315670972</v>
      </c>
      <c r="AG18" s="3">
        <f t="shared" si="5"/>
        <v>620.87532740834592</v>
      </c>
      <c r="AH18" s="1">
        <f t="shared" si="6"/>
        <v>6229.5040000000017</v>
      </c>
    </row>
    <row r="19" spans="1:34" s="1" customFormat="1">
      <c r="A19" s="19"/>
      <c r="B19"/>
      <c r="C19"/>
      <c r="D19"/>
      <c r="E19"/>
      <c r="F19" s="57"/>
      <c r="G19"/>
      <c r="H19"/>
      <c r="I19" s="32"/>
      <c r="J19" s="33"/>
      <c r="K19" s="33"/>
      <c r="M19" s="33"/>
      <c r="N19" s="33"/>
      <c r="P19" s="9"/>
      <c r="Q19" s="9"/>
      <c r="R19" s="9"/>
      <c r="S19" s="9"/>
      <c r="T19" s="9"/>
      <c r="U19" s="29"/>
      <c r="V19" s="4"/>
      <c r="Y19" s="6">
        <f t="shared" si="7"/>
        <v>20.700000000000003</v>
      </c>
      <c r="Z19" s="3">
        <f t="shared" si="8"/>
        <v>1.2481595483088335</v>
      </c>
      <c r="AA19" s="3">
        <f t="shared" si="9"/>
        <v>2.2651660312712858</v>
      </c>
      <c r="AB19" s="3">
        <f t="shared" si="0"/>
        <v>428.49000000000012</v>
      </c>
      <c r="AC19" s="3">
        <f t="shared" si="1"/>
        <v>428.49000000000012</v>
      </c>
      <c r="AD19" s="3">
        <f t="shared" si="2"/>
        <v>183603.68010000011</v>
      </c>
      <c r="AE19" s="3">
        <f t="shared" si="3"/>
        <v>5.1309771492253073</v>
      </c>
      <c r="AF19" s="3">
        <f t="shared" si="4"/>
        <v>46.88893684731562</v>
      </c>
      <c r="AG19" s="3">
        <f t="shared" si="5"/>
        <v>970.60099273943354</v>
      </c>
      <c r="AH19" s="1">
        <f t="shared" si="6"/>
        <v>8869.743000000004</v>
      </c>
    </row>
    <row r="20" spans="1:34" s="1" customFormat="1">
      <c r="A20" s="19"/>
      <c r="B20" s="33"/>
      <c r="C20" s="33"/>
      <c r="D20" s="33"/>
      <c r="E20" s="33"/>
      <c r="F20" s="74"/>
      <c r="G20" s="33"/>
      <c r="H20" s="33"/>
      <c r="I20" s="34"/>
      <c r="J20" s="34"/>
      <c r="K20" s="34"/>
      <c r="M20" s="34"/>
      <c r="N20" s="34"/>
      <c r="P20" s="10"/>
      <c r="Q20" s="10"/>
      <c r="R20" s="10"/>
      <c r="S20" s="10"/>
      <c r="T20" s="10"/>
      <c r="U20" s="29">
        <f>AD54</f>
        <v>5.2125269157533793E-2</v>
      </c>
      <c r="V20" s="4"/>
      <c r="Y20" s="6">
        <f t="shared" si="7"/>
        <v>23.000000000000004</v>
      </c>
      <c r="Z20" s="3">
        <f t="shared" si="8"/>
        <v>1.5060006374577799</v>
      </c>
      <c r="AA20" s="3">
        <f t="shared" si="9"/>
        <v>2.7330972964669367</v>
      </c>
      <c r="AB20" s="3">
        <f>Y20^2</f>
        <v>529.00000000000011</v>
      </c>
      <c r="AC20" s="3">
        <f>Y20^2</f>
        <v>529.00000000000011</v>
      </c>
      <c r="AD20" s="3">
        <f>AB20^2</f>
        <v>279841.00000000012</v>
      </c>
      <c r="AE20" s="3">
        <f>AA20^2</f>
        <v>7.4698208319548787</v>
      </c>
      <c r="AF20" s="3">
        <f>Y20*AA20</f>
        <v>62.861237818739554</v>
      </c>
      <c r="AG20" s="3">
        <f>AB20*AA20</f>
        <v>1445.8084698310099</v>
      </c>
      <c r="AH20" s="1">
        <f>Y20^3</f>
        <v>12167.000000000004</v>
      </c>
    </row>
    <row r="21" spans="1:34" s="1" customFormat="1">
      <c r="A21" s="19"/>
      <c r="B21" s="33"/>
      <c r="C21" s="33"/>
      <c r="D21" s="33"/>
      <c r="E21" s="33"/>
      <c r="F21" s="75"/>
      <c r="G21" s="74"/>
      <c r="H21" s="33"/>
      <c r="I21" s="33"/>
      <c r="J21" s="33"/>
      <c r="K21" s="33"/>
      <c r="L21" s="33"/>
      <c r="M21" s="33"/>
      <c r="N21" s="33"/>
      <c r="O21" s="9"/>
      <c r="P21" s="9"/>
      <c r="Q21" s="9"/>
      <c r="R21" s="9"/>
      <c r="S21" s="9"/>
      <c r="T21" s="9"/>
      <c r="U21" s="29">
        <f>AD55*-1</f>
        <v>-3.4627713275627303E-3</v>
      </c>
      <c r="V21" s="4"/>
      <c r="Y21" s="6">
        <f t="shared" si="7"/>
        <v>25.300000000000004</v>
      </c>
      <c r="Z21" s="3">
        <f t="shared" si="8"/>
        <v>1.7840290873412297</v>
      </c>
      <c r="AA21" s="3">
        <f t="shared" si="9"/>
        <v>3.2376646823082011</v>
      </c>
      <c r="AB21" s="3">
        <f>Y21^2</f>
        <v>640.09000000000026</v>
      </c>
      <c r="AC21" s="3">
        <f>Y21^2</f>
        <v>640.09000000000026</v>
      </c>
      <c r="AD21" s="3">
        <f>AB21^2</f>
        <v>409715.20810000034</v>
      </c>
      <c r="AE21" s="3">
        <f>AA21^2</f>
        <v>10.482472595065865</v>
      </c>
      <c r="AF21" s="3">
        <f>Y21*AA21</f>
        <v>81.912916462397504</v>
      </c>
      <c r="AG21" s="3">
        <f>AB21*AA21</f>
        <v>2072.3967864986571</v>
      </c>
      <c r="AH21" s="1">
        <f>Y21^3</f>
        <v>16194.277000000009</v>
      </c>
    </row>
    <row r="22" spans="1:34" s="1" customFormat="1">
      <c r="A22" s="19"/>
      <c r="B22" s="33"/>
      <c r="C22" s="33"/>
      <c r="D22" s="33"/>
      <c r="E22" s="33"/>
      <c r="F22" s="74"/>
      <c r="G22" s="33"/>
      <c r="H22" s="33"/>
      <c r="I22" s="35"/>
      <c r="J22" s="35"/>
      <c r="K22" s="35"/>
      <c r="L22" s="35"/>
      <c r="M22" s="35"/>
      <c r="N22" s="35"/>
      <c r="O22" s="11"/>
      <c r="P22" s="11"/>
      <c r="Q22" s="11"/>
      <c r="R22" s="11"/>
      <c r="S22" s="11"/>
      <c r="T22" s="11"/>
      <c r="U22" s="11"/>
      <c r="Y22" s="6">
        <f t="shared" si="7"/>
        <v>27.600000000000005</v>
      </c>
      <c r="Z22" s="3">
        <f t="shared" si="8"/>
        <v>2.0822448979591837</v>
      </c>
      <c r="AA22" s="3">
        <f t="shared" si="9"/>
        <v>3.7788681887950806</v>
      </c>
      <c r="AB22" s="3">
        <f>Y22^2</f>
        <v>761.76000000000022</v>
      </c>
      <c r="AC22" s="3">
        <f>Y22^2</f>
        <v>761.76000000000022</v>
      </c>
      <c r="AD22" s="3">
        <f>AB22^2</f>
        <v>580278.29760000028</v>
      </c>
      <c r="AE22" s="3">
        <f>AA22^2</f>
        <v>14.279844788287413</v>
      </c>
      <c r="AF22" s="3">
        <f>Y22*AA22</f>
        <v>104.29676201074425</v>
      </c>
      <c r="AG22" s="3">
        <f>AB22*AA22</f>
        <v>2878.5906314965414</v>
      </c>
      <c r="AH22" s="1">
        <f>Y22^3</f>
        <v>21024.576000000008</v>
      </c>
    </row>
    <row r="23" spans="1:34" s="1" customFormat="1">
      <c r="A23" s="21"/>
      <c r="B23" s="33"/>
      <c r="C23" s="33"/>
      <c r="D23" s="33"/>
      <c r="E23" s="33"/>
      <c r="F23" s="76"/>
      <c r="G23" s="33"/>
      <c r="H23" s="33"/>
      <c r="I23" s="36"/>
      <c r="J23" s="36"/>
      <c r="K23" s="36"/>
      <c r="L23" s="36"/>
      <c r="M23" s="36"/>
      <c r="N23" s="36"/>
      <c r="O23" s="12"/>
      <c r="P23" s="12"/>
      <c r="Q23" s="12"/>
      <c r="R23" s="12"/>
      <c r="S23" s="12"/>
      <c r="T23" s="12"/>
      <c r="U23" s="12"/>
      <c r="Y23" s="6">
        <f t="shared" si="7"/>
        <v>29.900000000000006</v>
      </c>
      <c r="Z23" s="3">
        <f t="shared" si="8"/>
        <v>2.4006480693116408</v>
      </c>
      <c r="AA23" s="3">
        <f t="shared" si="9"/>
        <v>4.3567078159275727</v>
      </c>
      <c r="AB23" s="3">
        <f t="shared" ref="AB23:AB40" si="10">Y23^2</f>
        <v>894.01000000000033</v>
      </c>
      <c r="AC23" s="3">
        <f t="shared" ref="AC23:AC40" si="11">Y23^2</f>
        <v>894.01000000000033</v>
      </c>
      <c r="AD23" s="3">
        <f t="shared" ref="AD23:AD40" si="12">AB23^2</f>
        <v>799253.88010000065</v>
      </c>
      <c r="AE23" s="3">
        <f t="shared" ref="AE23:AE40" si="13">AA23^2</f>
        <v>18.980902993364403</v>
      </c>
      <c r="AF23" s="3">
        <f t="shared" ref="AF23:AF40" si="14">Y23*AA23</f>
        <v>130.26556369623444</v>
      </c>
      <c r="AG23" s="3">
        <f t="shared" ref="AG23:AG40" si="15">AB23*AA23</f>
        <v>3894.9403545174109</v>
      </c>
      <c r="AH23" s="1">
        <f t="shared" ref="AH23:AH40" si="16">Y23^3</f>
        <v>26730.899000000016</v>
      </c>
    </row>
    <row r="24" spans="1:34" s="1" customFormat="1">
      <c r="A24" s="21"/>
      <c r="B24" s="33"/>
      <c r="C24" s="33"/>
      <c r="D24" s="33"/>
      <c r="E24" s="33"/>
      <c r="F24" s="76"/>
      <c r="G24" s="34"/>
      <c r="H24" s="33"/>
      <c r="I24" s="37"/>
      <c r="J24" s="37"/>
      <c r="K24" s="37"/>
      <c r="L24" s="37"/>
      <c r="M24" s="37"/>
      <c r="N24" s="37"/>
      <c r="O24" s="13"/>
      <c r="P24" s="13"/>
      <c r="Q24" s="13"/>
      <c r="R24" s="13"/>
      <c r="S24" s="13"/>
      <c r="T24" s="13"/>
      <c r="U24" s="13"/>
      <c r="Y24" s="6">
        <f t="shared" si="7"/>
        <v>32.200000000000003</v>
      </c>
      <c r="Z24" s="3">
        <f t="shared" si="8"/>
        <v>2.7392386013986014</v>
      </c>
      <c r="AA24" s="3">
        <f t="shared" si="9"/>
        <v>4.9711835637056785</v>
      </c>
      <c r="AB24" s="3">
        <f t="shared" si="10"/>
        <v>1036.8400000000001</v>
      </c>
      <c r="AC24" s="3">
        <f t="shared" si="11"/>
        <v>1036.8400000000001</v>
      </c>
      <c r="AD24" s="3">
        <f t="shared" si="12"/>
        <v>1075037.1856000002</v>
      </c>
      <c r="AE24" s="3">
        <f t="shared" si="13"/>
        <v>24.712666024057491</v>
      </c>
      <c r="AF24" s="3">
        <f t="shared" si="14"/>
        <v>160.07211075132287</v>
      </c>
      <c r="AG24" s="3">
        <f t="shared" si="15"/>
        <v>5154.3219661925968</v>
      </c>
      <c r="AH24" s="1">
        <f t="shared" si="16"/>
        <v>33386.248000000007</v>
      </c>
    </row>
    <row r="25" spans="1:34" s="1" customFormat="1">
      <c r="A25" s="21"/>
      <c r="B25" s="33"/>
      <c r="C25" s="33"/>
      <c r="D25" s="33"/>
      <c r="E25" s="33"/>
      <c r="F25" s="57"/>
      <c r="G25" s="33"/>
      <c r="H25"/>
      <c r="I25" s="21"/>
      <c r="J25" s="21"/>
      <c r="K25" s="21"/>
      <c r="L25" s="21"/>
      <c r="M25" s="21"/>
      <c r="N25" s="21"/>
      <c r="O25" s="7"/>
      <c r="P25" s="7"/>
      <c r="Q25" s="7"/>
      <c r="R25" s="7"/>
      <c r="S25" s="7"/>
      <c r="T25" s="7"/>
      <c r="U25" s="7"/>
      <c r="Y25" s="6">
        <f t="shared" si="7"/>
        <v>34.5</v>
      </c>
      <c r="Z25" s="3">
        <f t="shared" si="8"/>
        <v>3.0980164942200648</v>
      </c>
      <c r="AA25" s="3">
        <f t="shared" si="9"/>
        <v>5.6222954321293974</v>
      </c>
      <c r="AB25" s="3">
        <f t="shared" si="10"/>
        <v>1190.25</v>
      </c>
      <c r="AC25" s="3">
        <f t="shared" si="11"/>
        <v>1190.25</v>
      </c>
      <c r="AD25" s="3">
        <f t="shared" si="12"/>
        <v>1416695.0625</v>
      </c>
      <c r="AE25" s="3">
        <f t="shared" si="13"/>
        <v>31.610205926143088</v>
      </c>
      <c r="AF25" s="3">
        <f t="shared" si="14"/>
        <v>193.96919240846421</v>
      </c>
      <c r="AG25" s="3">
        <f t="shared" si="15"/>
        <v>6691.9371380920156</v>
      </c>
      <c r="AH25" s="1">
        <f t="shared" si="16"/>
        <v>41063.625</v>
      </c>
    </row>
    <row r="26" spans="1:34" s="1" customFormat="1">
      <c r="A26" s="21"/>
      <c r="B26" s="34"/>
      <c r="C26" s="33"/>
      <c r="D26" s="33"/>
      <c r="E26" s="33"/>
      <c r="F26" s="57"/>
      <c r="G26" s="59"/>
      <c r="H26"/>
      <c r="I26" s="21"/>
      <c r="J26" s="21"/>
      <c r="K26" s="21"/>
      <c r="L26" s="21"/>
      <c r="M26" s="21"/>
      <c r="N26" s="21"/>
      <c r="O26" s="7"/>
      <c r="P26" s="7"/>
      <c r="Q26" s="7"/>
      <c r="R26" s="7"/>
      <c r="S26" s="7"/>
      <c r="T26" s="7"/>
      <c r="U26" s="7"/>
      <c r="Y26" s="6">
        <f t="shared" si="7"/>
        <v>36.799999999999997</v>
      </c>
      <c r="Z26" s="3">
        <f t="shared" si="8"/>
        <v>3.4769817477760325</v>
      </c>
      <c r="AA26" s="3">
        <f t="shared" si="9"/>
        <v>6.3100434211987304</v>
      </c>
      <c r="AB26" s="3">
        <f t="shared" si="10"/>
        <v>1354.2399999999998</v>
      </c>
      <c r="AC26" s="3">
        <f t="shared" si="11"/>
        <v>1354.2399999999998</v>
      </c>
      <c r="AD26" s="3">
        <f t="shared" si="12"/>
        <v>1833965.9775999994</v>
      </c>
      <c r="AE26" s="3">
        <f t="shared" si="13"/>
        <v>39.816647977413375</v>
      </c>
      <c r="AF26" s="3">
        <f t="shared" si="14"/>
        <v>232.20959790011327</v>
      </c>
      <c r="AG26" s="3">
        <f t="shared" si="15"/>
        <v>8545.3132027241681</v>
      </c>
      <c r="AH26" s="1">
        <f t="shared" si="16"/>
        <v>49836.031999999985</v>
      </c>
    </row>
    <row r="27" spans="1:34" s="1" customFormat="1">
      <c r="A27" s="21"/>
      <c r="B27" s="33"/>
      <c r="C27" s="33"/>
      <c r="D27" s="33"/>
      <c r="E27" s="33"/>
      <c r="F27" s="58"/>
      <c r="G27" s="59"/>
      <c r="H27" s="36"/>
      <c r="I27" s="21"/>
      <c r="J27" s="21"/>
      <c r="K27" s="21"/>
      <c r="L27" s="21"/>
      <c r="M27" s="21"/>
      <c r="N27" s="21"/>
      <c r="O27" s="7"/>
      <c r="P27" s="7"/>
      <c r="Q27" s="7"/>
      <c r="R27" s="7"/>
      <c r="S27" s="7"/>
      <c r="T27" s="7"/>
      <c r="U27" s="7"/>
      <c r="Y27" s="6">
        <f t="shared" si="7"/>
        <v>39.099999999999994</v>
      </c>
      <c r="Z27" s="3">
        <f t="shared" si="8"/>
        <v>3.8761343620665034</v>
      </c>
      <c r="AA27" s="3">
        <f t="shared" si="9"/>
        <v>7.0344275309136775</v>
      </c>
      <c r="AB27" s="3">
        <f t="shared" si="10"/>
        <v>1528.8099999999995</v>
      </c>
      <c r="AC27" s="3">
        <f t="shared" si="11"/>
        <v>1528.8099999999995</v>
      </c>
      <c r="AD27" s="3">
        <f t="shared" si="12"/>
        <v>2337260.0160999983</v>
      </c>
      <c r="AE27" s="3">
        <f t="shared" si="13"/>
        <v>49.483170687676299</v>
      </c>
      <c r="AF27" s="3">
        <f t="shared" si="14"/>
        <v>275.04611645872473</v>
      </c>
      <c r="AG27" s="3">
        <f t="shared" si="15"/>
        <v>10754.303153536135</v>
      </c>
      <c r="AH27" s="1">
        <f t="shared" si="16"/>
        <v>59776.470999999969</v>
      </c>
    </row>
    <row r="28" spans="1:34" s="1" customFormat="1">
      <c r="A28" s="21"/>
      <c r="B28" s="34"/>
      <c r="C28" s="33"/>
      <c r="D28" s="33"/>
      <c r="E28" s="33"/>
      <c r="F28" s="57"/>
      <c r="G28" s="59"/>
      <c r="H28"/>
      <c r="I28" s="21"/>
      <c r="J28" s="21"/>
      <c r="K28" s="21"/>
      <c r="L28" s="21"/>
      <c r="M28" s="21"/>
      <c r="N28" s="21"/>
      <c r="O28" s="7"/>
      <c r="P28" s="7"/>
      <c r="Q28" s="7"/>
      <c r="R28" s="7"/>
      <c r="S28" s="7"/>
      <c r="T28" s="7"/>
      <c r="U28" s="7"/>
      <c r="Y28" s="6">
        <f t="shared" si="7"/>
        <v>41.399999999999991</v>
      </c>
      <c r="Z28" s="3">
        <f t="shared" si="8"/>
        <v>4.2954743370914779</v>
      </c>
      <c r="AA28" s="3">
        <f t="shared" si="9"/>
        <v>7.7954477612742377</v>
      </c>
      <c r="AB28" s="3">
        <f t="shared" si="10"/>
        <v>1713.9599999999994</v>
      </c>
      <c r="AC28" s="3">
        <f t="shared" si="11"/>
        <v>1713.9599999999994</v>
      </c>
      <c r="AD28" s="3">
        <f t="shared" si="12"/>
        <v>2937658.8815999976</v>
      </c>
      <c r="AE28" s="3">
        <f t="shared" si="13"/>
        <v>60.769005798755522</v>
      </c>
      <c r="AF28" s="3">
        <f t="shared" si="14"/>
        <v>322.73153731675336</v>
      </c>
      <c r="AG28" s="3">
        <f t="shared" si="15"/>
        <v>13361.085644913588</v>
      </c>
      <c r="AH28" s="1">
        <f t="shared" si="16"/>
        <v>70957.943999999959</v>
      </c>
    </row>
    <row r="29" spans="1:34" s="1" customFormat="1">
      <c r="A29" s="61"/>
      <c r="B29" s="33"/>
      <c r="C29" s="33"/>
      <c r="D29" s="33"/>
      <c r="E29" s="33"/>
      <c r="F29" s="60"/>
      <c r="G29"/>
      <c r="H29" s="36"/>
      <c r="I29" s="21"/>
      <c r="J29" s="21"/>
      <c r="K29" s="21"/>
      <c r="L29" s="21"/>
      <c r="M29" s="21"/>
      <c r="N29" s="21"/>
      <c r="O29" s="7"/>
      <c r="P29" s="7"/>
      <c r="Q29" s="7"/>
      <c r="R29" s="7"/>
      <c r="S29" s="7"/>
      <c r="T29" s="7"/>
      <c r="U29" s="7"/>
      <c r="Y29" s="6">
        <f t="shared" si="7"/>
        <v>43.699999999999989</v>
      </c>
      <c r="Z29" s="3">
        <f t="shared" si="8"/>
        <v>4.7350016728509559</v>
      </c>
      <c r="AA29" s="3">
        <f t="shared" si="9"/>
        <v>8.593104112280411</v>
      </c>
      <c r="AB29" s="3">
        <f t="shared" si="10"/>
        <v>1909.6899999999989</v>
      </c>
      <c r="AC29" s="3">
        <f t="shared" si="11"/>
        <v>1909.6899999999989</v>
      </c>
      <c r="AD29" s="3">
        <f t="shared" si="12"/>
        <v>3646915.8960999958</v>
      </c>
      <c r="AE29" s="3">
        <f t="shared" si="13"/>
        <v>73.841438284490508</v>
      </c>
      <c r="AF29" s="3">
        <f t="shared" si="14"/>
        <v>375.51864970665389</v>
      </c>
      <c r="AG29" s="3">
        <f t="shared" si="15"/>
        <v>16410.164992180769</v>
      </c>
      <c r="AH29" s="1">
        <f t="shared" si="16"/>
        <v>83453.452999999936</v>
      </c>
    </row>
    <row r="30" spans="1:34" s="1" customFormat="1">
      <c r="A30" s="61"/>
      <c r="B30"/>
      <c r="C30"/>
      <c r="D30"/>
      <c r="E30"/>
      <c r="F30" s="57"/>
      <c r="G30"/>
      <c r="H30"/>
      <c r="I30" s="21"/>
      <c r="J30" s="21"/>
      <c r="K30" s="21"/>
      <c r="L30" s="21"/>
      <c r="M30" s="21"/>
      <c r="N30" s="21"/>
      <c r="O30" s="7"/>
      <c r="P30" s="7"/>
      <c r="Q30" s="7"/>
      <c r="R30" s="7"/>
      <c r="S30" s="7"/>
      <c r="T30" s="7"/>
      <c r="U30" s="7"/>
      <c r="Y30" s="6">
        <f t="shared" si="7"/>
        <v>45.999999999999986</v>
      </c>
      <c r="Z30" s="3">
        <f t="shared" si="8"/>
        <v>5.1947163693449365</v>
      </c>
      <c r="AA30" s="3">
        <f t="shared" si="9"/>
        <v>9.4273965839321985</v>
      </c>
      <c r="AB30" s="3">
        <f t="shared" si="10"/>
        <v>2115.9999999999986</v>
      </c>
      <c r="AC30" s="3">
        <f t="shared" si="11"/>
        <v>2115.9999999999986</v>
      </c>
      <c r="AD30" s="6">
        <f t="shared" si="12"/>
        <v>4477455.9999999944</v>
      </c>
      <c r="AE30" s="3">
        <f t="shared" si="13"/>
        <v>88.875806350736482</v>
      </c>
      <c r="AF30" s="3">
        <f t="shared" si="14"/>
        <v>433.660242860881</v>
      </c>
      <c r="AG30" s="3">
        <f t="shared" si="15"/>
        <v>19948.37117160052</v>
      </c>
      <c r="AH30" s="1">
        <f t="shared" si="16"/>
        <v>97335.999999999913</v>
      </c>
    </row>
    <row r="31" spans="1:34" s="1" customFormat="1">
      <c r="A31" s="38"/>
      <c r="B31" s="61"/>
      <c r="C31" s="61"/>
      <c r="D31" s="61"/>
      <c r="E31" s="16"/>
      <c r="F31" s="57"/>
      <c r="G31" s="16"/>
      <c r="H31" s="16"/>
      <c r="I31" s="23"/>
      <c r="J31" s="21"/>
      <c r="K31" s="21"/>
      <c r="L31" s="21"/>
      <c r="M31" s="21"/>
      <c r="N31" s="21"/>
      <c r="O31" s="7"/>
      <c r="P31" s="7"/>
      <c r="Q31" s="7"/>
      <c r="R31" s="7"/>
      <c r="S31" s="7"/>
      <c r="T31" s="7"/>
      <c r="U31" s="7"/>
      <c r="Y31" s="6">
        <f t="shared" si="7"/>
        <v>48.299999999999983</v>
      </c>
      <c r="Z31" s="3">
        <f t="shared" si="8"/>
        <v>5.6746184265734216</v>
      </c>
      <c r="AA31" s="3">
        <f t="shared" si="9"/>
        <v>10.2983251762296</v>
      </c>
      <c r="AB31" s="3">
        <f t="shared" si="10"/>
        <v>2332.8899999999985</v>
      </c>
      <c r="AC31" s="3">
        <f t="shared" si="11"/>
        <v>2332.8899999999985</v>
      </c>
      <c r="AD31" s="6">
        <f t="shared" si="12"/>
        <v>5442375.7520999927</v>
      </c>
      <c r="AE31" s="3">
        <f t="shared" si="13"/>
        <v>106.05550143536442</v>
      </c>
      <c r="AF31" s="3">
        <f t="shared" si="14"/>
        <v>497.40910601188949</v>
      </c>
      <c r="AG31" s="3">
        <f t="shared" si="15"/>
        <v>24024.859820374255</v>
      </c>
      <c r="AH31" s="1">
        <f t="shared" si="16"/>
        <v>112678.58699999988</v>
      </c>
    </row>
    <row r="32" spans="1:34" s="1" customFormat="1">
      <c r="A32" s="38"/>
      <c r="B32" s="61"/>
      <c r="C32" s="61"/>
      <c r="D32" s="61"/>
      <c r="E32" s="16"/>
      <c r="F32" s="57"/>
      <c r="G32" s="16"/>
      <c r="H32" s="16"/>
      <c r="I32" s="23"/>
      <c r="J32" s="21"/>
      <c r="K32" s="21"/>
      <c r="L32" s="21"/>
      <c r="M32" s="21"/>
      <c r="N32" s="21"/>
      <c r="O32" s="7"/>
      <c r="P32" s="7"/>
      <c r="Q32" s="7"/>
      <c r="R32" s="7"/>
      <c r="S32" s="7"/>
      <c r="T32" s="7"/>
      <c r="U32" s="7"/>
      <c r="Y32" s="6">
        <f t="shared" si="7"/>
        <v>50.59999999999998</v>
      </c>
      <c r="Z32" s="3">
        <f t="shared" si="8"/>
        <v>6.1747078445364112</v>
      </c>
      <c r="AA32" s="3">
        <f t="shared" si="9"/>
        <v>11.205889889172617</v>
      </c>
      <c r="AB32" s="3">
        <f t="shared" si="10"/>
        <v>2560.3599999999979</v>
      </c>
      <c r="AC32" s="3">
        <f t="shared" si="11"/>
        <v>2560.3599999999979</v>
      </c>
      <c r="AD32" s="6">
        <f t="shared" si="12"/>
        <v>6555443.3295999886</v>
      </c>
      <c r="AE32" s="3">
        <f t="shared" si="13"/>
        <v>125.5719682082611</v>
      </c>
      <c r="AF32" s="3">
        <f t="shared" si="14"/>
        <v>567.01802839213417</v>
      </c>
      <c r="AG32" s="3">
        <f t="shared" si="15"/>
        <v>28691.112236641977</v>
      </c>
      <c r="AH32" s="1">
        <f t="shared" si="16"/>
        <v>129554.21599999984</v>
      </c>
    </row>
    <row r="33" spans="1:34" s="1" customFormat="1">
      <c r="A33" s="38"/>
      <c r="B33" s="38"/>
      <c r="C33" s="38"/>
      <c r="D33" s="38"/>
      <c r="E33" s="39"/>
      <c r="F33" s="5"/>
      <c r="G33" s="39"/>
      <c r="H33" s="39"/>
      <c r="I33" s="23"/>
      <c r="J33" s="21"/>
      <c r="K33" s="21"/>
      <c r="L33" s="21"/>
      <c r="M33" s="21"/>
      <c r="N33" s="21"/>
      <c r="O33" s="7"/>
      <c r="P33" s="7"/>
      <c r="Q33" s="7"/>
      <c r="R33" s="7"/>
      <c r="S33" s="7"/>
      <c r="T33" s="7"/>
      <c r="U33" s="7"/>
      <c r="Y33" s="6">
        <f t="shared" si="7"/>
        <v>52.899999999999977</v>
      </c>
      <c r="Z33" s="3">
        <f t="shared" si="8"/>
        <v>6.6949846232339034</v>
      </c>
      <c r="AA33" s="3">
        <f t="shared" si="9"/>
        <v>12.150090722761245</v>
      </c>
      <c r="AB33" s="3">
        <f t="shared" si="10"/>
        <v>2798.4099999999976</v>
      </c>
      <c r="AC33" s="3">
        <f t="shared" si="11"/>
        <v>2798.4099999999976</v>
      </c>
      <c r="AD33" s="6">
        <f t="shared" si="12"/>
        <v>7831098.5280999867</v>
      </c>
      <c r="AE33" s="3">
        <f t="shared" si="13"/>
        <v>147.62470457132886</v>
      </c>
      <c r="AF33" s="3">
        <f t="shared" si="14"/>
        <v>642.73979923406955</v>
      </c>
      <c r="AG33" s="3">
        <f t="shared" si="15"/>
        <v>34000.935379482267</v>
      </c>
      <c r="AH33" s="1">
        <f t="shared" si="16"/>
        <v>148035.88899999982</v>
      </c>
    </row>
    <row r="34" spans="1:34" s="1" customFormat="1">
      <c r="A34" s="38"/>
      <c r="B34" s="38"/>
      <c r="C34" s="38"/>
      <c r="D34" s="38"/>
      <c r="E34" s="39"/>
      <c r="F34" s="5"/>
      <c r="G34" s="39"/>
      <c r="H34" s="39"/>
      <c r="I34" s="23"/>
      <c r="J34" s="21"/>
      <c r="K34" s="21"/>
      <c r="L34" s="21"/>
      <c r="M34" s="21"/>
      <c r="N34" s="21"/>
      <c r="O34" s="7"/>
      <c r="P34" s="7"/>
      <c r="Q34" s="7"/>
      <c r="R34" s="7"/>
      <c r="S34" s="7"/>
      <c r="T34" s="7"/>
      <c r="U34" s="7"/>
      <c r="Y34" s="6">
        <f t="shared" si="7"/>
        <v>55.199999999999974</v>
      </c>
      <c r="Z34" s="3">
        <f t="shared" si="8"/>
        <v>7.2354487626658992</v>
      </c>
      <c r="AA34" s="3">
        <f t="shared" si="9"/>
        <v>13.130927676995489</v>
      </c>
      <c r="AB34" s="3">
        <f t="shared" si="10"/>
        <v>3047.0399999999972</v>
      </c>
      <c r="AC34" s="3">
        <f t="shared" si="11"/>
        <v>3047.0399999999972</v>
      </c>
      <c r="AD34" s="6">
        <f t="shared" si="12"/>
        <v>9284452.761599984</v>
      </c>
      <c r="AE34" s="3">
        <f t="shared" si="13"/>
        <v>172.42126165848615</v>
      </c>
      <c r="AF34" s="3">
        <f t="shared" si="14"/>
        <v>724.82720777015061</v>
      </c>
      <c r="AG34" s="3">
        <f t="shared" si="15"/>
        <v>40010.461868912294</v>
      </c>
      <c r="AH34" s="1">
        <f t="shared" si="16"/>
        <v>168196.60799999977</v>
      </c>
    </row>
    <row r="35" spans="1:34" s="1" customFormat="1">
      <c r="A35" s="38"/>
      <c r="B35" s="38"/>
      <c r="C35" s="38"/>
      <c r="D35" s="38"/>
      <c r="E35" s="39"/>
      <c r="F35" s="5"/>
      <c r="G35" s="39"/>
      <c r="H35" s="39"/>
      <c r="I35" s="23"/>
      <c r="J35" s="21"/>
      <c r="K35" s="21"/>
      <c r="L35" s="21"/>
      <c r="M35" s="21"/>
      <c r="N35" s="21"/>
      <c r="O35" s="7"/>
      <c r="P35" s="7"/>
      <c r="Q35" s="7"/>
      <c r="R35" s="7"/>
      <c r="S35" s="7"/>
      <c r="T35" s="7"/>
      <c r="U35" s="7"/>
      <c r="Y35" s="6">
        <f t="shared" si="7"/>
        <v>57.499999999999972</v>
      </c>
      <c r="Z35" s="3">
        <f t="shared" si="8"/>
        <v>7.7961002628323977</v>
      </c>
      <c r="AA35" s="3">
        <f t="shared" si="9"/>
        <v>14.148400751875345</v>
      </c>
      <c r="AB35" s="3">
        <f t="shared" si="10"/>
        <v>3306.2499999999968</v>
      </c>
      <c r="AC35" s="3">
        <f t="shared" si="11"/>
        <v>3306.2499999999968</v>
      </c>
      <c r="AD35" s="6">
        <f t="shared" si="12"/>
        <v>10931289.06249998</v>
      </c>
      <c r="AE35" s="3">
        <f t="shared" si="13"/>
        <v>200.17724383566681</v>
      </c>
      <c r="AF35" s="3">
        <f t="shared" si="14"/>
        <v>813.53304323283191</v>
      </c>
      <c r="AG35" s="3">
        <f t="shared" si="15"/>
        <v>46778.149985887816</v>
      </c>
      <c r="AH35" s="1">
        <f t="shared" si="16"/>
        <v>190109.37499999971</v>
      </c>
    </row>
    <row r="36" spans="1:34" s="1" customFormat="1">
      <c r="A36" s="38"/>
      <c r="B36" s="38"/>
      <c r="C36" s="38"/>
      <c r="D36" s="38"/>
      <c r="E36" s="39"/>
      <c r="F36" s="5"/>
      <c r="G36" s="39"/>
      <c r="H36" s="39"/>
      <c r="I36" s="23"/>
      <c r="J36" s="21"/>
      <c r="K36" s="21"/>
      <c r="L36" s="21"/>
      <c r="M36" s="21"/>
      <c r="N36" s="21"/>
      <c r="O36" s="7"/>
      <c r="P36" s="7"/>
      <c r="Q36" s="7"/>
      <c r="R36" s="7"/>
      <c r="S36" s="7"/>
      <c r="T36" s="7"/>
      <c r="U36" s="7"/>
      <c r="Y36" s="6">
        <f t="shared" si="7"/>
        <v>59.799999999999969</v>
      </c>
      <c r="Z36" s="3">
        <f t="shared" si="8"/>
        <v>8.3769391237334005</v>
      </c>
      <c r="AA36" s="3">
        <f t="shared" si="9"/>
        <v>15.202509947400815</v>
      </c>
      <c r="AB36" s="3">
        <f t="shared" si="10"/>
        <v>3576.0399999999963</v>
      </c>
      <c r="AC36" s="3">
        <f t="shared" si="11"/>
        <v>3576.0399999999963</v>
      </c>
      <c r="AD36" s="6">
        <f t="shared" si="12"/>
        <v>12788062.081599973</v>
      </c>
      <c r="AE36" s="3">
        <f t="shared" si="13"/>
        <v>231.11630870082072</v>
      </c>
      <c r="AF36" s="3">
        <f t="shared" si="14"/>
        <v>909.11009485456827</v>
      </c>
      <c r="AG36" s="3">
        <f t="shared" si="15"/>
        <v>54364.783672303151</v>
      </c>
      <c r="AH36" s="1">
        <f t="shared" si="16"/>
        <v>213847.19199999966</v>
      </c>
    </row>
    <row r="37" spans="1:34" s="1" customFormat="1">
      <c r="A37" s="38"/>
      <c r="B37" s="38"/>
      <c r="C37" s="38"/>
      <c r="D37" s="38"/>
      <c r="E37" s="39"/>
      <c r="F37" s="5"/>
      <c r="G37" s="39"/>
      <c r="H37" s="39"/>
      <c r="I37" s="23"/>
      <c r="J37" s="21"/>
      <c r="K37" s="21"/>
      <c r="L37" s="21"/>
      <c r="M37" s="21"/>
      <c r="N37" s="21"/>
      <c r="O37" s="7"/>
      <c r="P37" s="7"/>
      <c r="Q37" s="7"/>
      <c r="R37" s="7"/>
      <c r="S37" s="7"/>
      <c r="T37" s="7"/>
      <c r="U37" s="7"/>
      <c r="Y37" s="6">
        <f t="shared" si="7"/>
        <v>62.099999999999966</v>
      </c>
      <c r="Z37" s="3">
        <f t="shared" si="8"/>
        <v>8.9779653453689079</v>
      </c>
      <c r="AA37" s="3">
        <f t="shared" si="9"/>
        <v>16.293255263571901</v>
      </c>
      <c r="AB37" s="3">
        <f t="shared" si="10"/>
        <v>3856.4099999999958</v>
      </c>
      <c r="AC37" s="3">
        <f t="shared" si="11"/>
        <v>3856.4099999999958</v>
      </c>
      <c r="AD37" s="6">
        <f t="shared" si="12"/>
        <v>14871898.088099968</v>
      </c>
      <c r="AE37" s="3">
        <f t="shared" si="13"/>
        <v>265.47016708391345</v>
      </c>
      <c r="AF37" s="3">
        <f t="shared" si="14"/>
        <v>1011.8111518678145</v>
      </c>
      <c r="AG37" s="3">
        <f t="shared" si="15"/>
        <v>62833.472530991246</v>
      </c>
      <c r="AH37" s="1">
        <f t="shared" si="16"/>
        <v>239483.06099999961</v>
      </c>
    </row>
    <row r="38" spans="1:34" s="1" customFormat="1">
      <c r="A38" s="38"/>
      <c r="B38" s="38"/>
      <c r="C38" s="38"/>
      <c r="D38" s="38"/>
      <c r="E38" s="39"/>
      <c r="F38" s="5"/>
      <c r="G38" s="39"/>
      <c r="H38" s="39"/>
      <c r="I38" s="23"/>
      <c r="J38" s="21"/>
      <c r="K38" s="21"/>
      <c r="L38" s="21"/>
      <c r="M38" s="21"/>
      <c r="N38" s="21"/>
      <c r="O38" s="7"/>
      <c r="P38" s="7"/>
      <c r="Q38" s="7"/>
      <c r="R38" s="7"/>
      <c r="S38" s="7"/>
      <c r="T38" s="7"/>
      <c r="U38" s="7"/>
      <c r="Y38" s="6">
        <f t="shared" si="7"/>
        <v>64.399999999999963</v>
      </c>
      <c r="Z38" s="3">
        <f t="shared" si="8"/>
        <v>9.5991789277389188</v>
      </c>
      <c r="AA38" s="3">
        <f t="shared" si="9"/>
        <v>17.420636700388599</v>
      </c>
      <c r="AB38" s="3">
        <f t="shared" si="10"/>
        <v>4147.3599999999951</v>
      </c>
      <c r="AC38" s="3">
        <f t="shared" si="11"/>
        <v>4147.3599999999951</v>
      </c>
      <c r="AD38" s="6">
        <f t="shared" si="12"/>
        <v>17200594.969599959</v>
      </c>
      <c r="AE38" s="3">
        <f t="shared" si="13"/>
        <v>303.47858304692619</v>
      </c>
      <c r="AF38" s="3">
        <f t="shared" si="14"/>
        <v>1121.8890035050251</v>
      </c>
      <c r="AG38" s="3">
        <f t="shared" si="15"/>
        <v>72249.651825723573</v>
      </c>
      <c r="AH38" s="1">
        <f t="shared" si="16"/>
        <v>267089.98399999953</v>
      </c>
    </row>
    <row r="39" spans="1:34" s="1" customFormat="1">
      <c r="A39" s="38"/>
      <c r="B39" s="38"/>
      <c r="C39" s="38"/>
      <c r="D39" s="38"/>
      <c r="E39" s="39"/>
      <c r="F39" s="5"/>
      <c r="G39" s="39"/>
      <c r="H39" s="39"/>
      <c r="I39" s="23"/>
      <c r="J39" s="21"/>
      <c r="K39" s="21"/>
      <c r="L39" s="21"/>
      <c r="M39" s="21"/>
      <c r="N39" s="21"/>
      <c r="O39" s="7"/>
      <c r="P39" s="7"/>
      <c r="Q39" s="7"/>
      <c r="R39" s="7"/>
      <c r="S39" s="7"/>
      <c r="T39" s="7"/>
      <c r="U39" s="7"/>
      <c r="Y39" s="6">
        <f t="shared" si="7"/>
        <v>66.69999999999996</v>
      </c>
      <c r="Z39" s="3">
        <f t="shared" si="8"/>
        <v>10.24057987084343</v>
      </c>
      <c r="AA39" s="3">
        <f t="shared" si="9"/>
        <v>18.584654257850907</v>
      </c>
      <c r="AB39" s="3">
        <f t="shared" si="10"/>
        <v>4448.8899999999949</v>
      </c>
      <c r="AC39" s="3">
        <f t="shared" si="11"/>
        <v>4448.8899999999949</v>
      </c>
      <c r="AD39" s="6">
        <f t="shared" si="12"/>
        <v>19792622.232099954</v>
      </c>
      <c r="AE39" s="3">
        <f t="shared" si="13"/>
        <v>345.38937388385585</v>
      </c>
      <c r="AF39" s="3">
        <f t="shared" si="14"/>
        <v>1239.5964389986548</v>
      </c>
      <c r="AG39" s="3">
        <f t="shared" si="15"/>
        <v>82681.082481210222</v>
      </c>
      <c r="AH39" s="1">
        <f t="shared" si="16"/>
        <v>296740.96299999946</v>
      </c>
    </row>
    <row r="40" spans="1:34" s="1" customFormat="1">
      <c r="A40" s="38"/>
      <c r="B40" s="38"/>
      <c r="C40" s="38"/>
      <c r="D40" s="38"/>
      <c r="E40" s="39"/>
      <c r="F40" s="5"/>
      <c r="G40" s="39"/>
      <c r="H40" s="39"/>
      <c r="I40" s="23"/>
      <c r="J40" s="21"/>
      <c r="K40" s="21"/>
      <c r="L40" s="21"/>
      <c r="M40" s="21"/>
      <c r="N40" s="21"/>
      <c r="O40" s="7"/>
      <c r="P40" s="7"/>
      <c r="Q40" s="7"/>
      <c r="R40" s="7"/>
      <c r="S40" s="7"/>
      <c r="T40" s="7"/>
      <c r="U40" s="7"/>
      <c r="Y40" s="6">
        <f t="shared" si="7"/>
        <v>68.999999999999957</v>
      </c>
      <c r="Z40" s="3">
        <f t="shared" si="8"/>
        <v>10.902168174682448</v>
      </c>
      <c r="AA40" s="3">
        <f t="shared" si="9"/>
        <v>19.785307935958834</v>
      </c>
      <c r="AB40" s="3">
        <f t="shared" si="10"/>
        <v>4760.9999999999945</v>
      </c>
      <c r="AC40" s="3">
        <f t="shared" si="11"/>
        <v>4760.9999999999945</v>
      </c>
      <c r="AD40" s="6">
        <f t="shared" si="12"/>
        <v>22667120.999999948</v>
      </c>
      <c r="AE40" s="3">
        <f t="shared" si="13"/>
        <v>391.4584101207156</v>
      </c>
      <c r="AF40" s="3">
        <f t="shared" si="14"/>
        <v>1365.1862475811586</v>
      </c>
      <c r="AG40" s="3">
        <f t="shared" si="15"/>
        <v>94197.8510830999</v>
      </c>
      <c r="AH40" s="1">
        <f t="shared" si="16"/>
        <v>328508.99999999942</v>
      </c>
    </row>
    <row r="41" spans="1:34" s="1" customFormat="1">
      <c r="A41" s="38"/>
      <c r="B41" s="38"/>
      <c r="C41" s="38"/>
      <c r="D41" s="38"/>
      <c r="E41" s="39"/>
      <c r="F41" s="5"/>
      <c r="G41" s="39"/>
      <c r="H41" s="39"/>
      <c r="I41" s="23"/>
      <c r="J41" s="21"/>
      <c r="K41" s="21"/>
      <c r="L41" s="21"/>
      <c r="M41" s="21"/>
      <c r="N41" s="21"/>
      <c r="O41" s="7"/>
      <c r="P41" s="7"/>
      <c r="Q41" s="7"/>
      <c r="R41" s="7"/>
      <c r="S41" s="7"/>
      <c r="T41" s="7"/>
      <c r="U41" s="7"/>
    </row>
    <row r="42" spans="1:34" s="1" customFormat="1">
      <c r="A42" s="38"/>
      <c r="B42" s="38"/>
      <c r="C42" s="38"/>
      <c r="D42" s="38"/>
      <c r="E42" s="39"/>
      <c r="F42" s="5"/>
      <c r="G42" s="39"/>
      <c r="H42" s="39"/>
      <c r="I42" s="23"/>
      <c r="J42" s="21"/>
      <c r="K42" s="21"/>
      <c r="L42" s="21"/>
      <c r="M42" s="21"/>
      <c r="N42" s="21"/>
      <c r="O42" s="7"/>
      <c r="P42" s="7"/>
      <c r="Q42" s="7"/>
      <c r="R42" s="7"/>
      <c r="S42" s="7"/>
      <c r="T42" s="7"/>
      <c r="U42" s="7"/>
    </row>
    <row r="43" spans="1:34" s="1" customFormat="1">
      <c r="A43" s="38"/>
      <c r="B43" s="38"/>
      <c r="C43" s="38"/>
      <c r="D43" s="38"/>
      <c r="E43" s="39"/>
      <c r="F43" s="5"/>
      <c r="G43" s="39"/>
      <c r="H43" s="39"/>
      <c r="I43" s="23"/>
      <c r="J43" s="21"/>
      <c r="K43" s="21"/>
      <c r="L43" s="21"/>
      <c r="M43" s="21"/>
      <c r="N43" s="21"/>
      <c r="O43" s="7"/>
      <c r="P43" s="7"/>
      <c r="Q43" s="7"/>
      <c r="R43" s="7"/>
      <c r="S43" s="7"/>
      <c r="T43" s="7"/>
      <c r="U43" s="7"/>
    </row>
    <row r="44" spans="1:34" s="1" customFormat="1">
      <c r="A44" s="38"/>
      <c r="B44" s="38"/>
      <c r="C44" s="38"/>
      <c r="D44" s="38"/>
      <c r="E44" s="39"/>
      <c r="F44" s="5"/>
      <c r="G44" s="39"/>
      <c r="H44" s="39"/>
      <c r="I44" s="23"/>
      <c r="J44" s="21"/>
      <c r="K44" s="21"/>
      <c r="L44" s="21"/>
      <c r="M44" s="21"/>
      <c r="N44" s="21"/>
      <c r="O44" s="7"/>
      <c r="P44" s="7"/>
      <c r="Q44" s="7"/>
      <c r="R44" s="7"/>
      <c r="S44" s="7"/>
      <c r="T44" s="7"/>
      <c r="U44" s="7"/>
    </row>
    <row r="45" spans="1:34" s="1" customFormat="1">
      <c r="A45" s="38"/>
      <c r="B45" s="38"/>
      <c r="C45" s="38">
        <v>130</v>
      </c>
      <c r="D45" s="38">
        <v>110</v>
      </c>
      <c r="E45" s="39"/>
      <c r="F45" s="5"/>
      <c r="G45" s="39"/>
      <c r="H45" s="39"/>
      <c r="I45" s="23"/>
      <c r="J45" s="21"/>
      <c r="K45" s="21"/>
      <c r="L45" s="21"/>
      <c r="M45" s="21"/>
      <c r="N45" s="21"/>
      <c r="O45" s="7"/>
      <c r="P45" s="7"/>
      <c r="Q45" s="7"/>
      <c r="R45" s="7"/>
      <c r="S45" s="7"/>
      <c r="T45" s="7"/>
      <c r="U45" s="7"/>
      <c r="Y45" s="1">
        <f t="shared" ref="Y45:AH45" si="17">SUM(Y10:Y40)</f>
        <v>1069.4999999999998</v>
      </c>
      <c r="Z45" s="1">
        <f t="shared" si="17"/>
        <v>121.07083863160641</v>
      </c>
      <c r="AA45" s="1">
        <f t="shared" si="17"/>
        <v>219.7199479965723</v>
      </c>
      <c r="AB45" s="1">
        <f t="shared" si="17"/>
        <v>50016.949999999953</v>
      </c>
      <c r="AC45" s="1">
        <f t="shared" si="17"/>
        <v>50016.949999999953</v>
      </c>
      <c r="AD45" s="1">
        <f t="shared" si="17"/>
        <v>147588115.41589972</v>
      </c>
      <c r="AE45" s="1">
        <f t="shared" si="17"/>
        <v>2721.7885403240016</v>
      </c>
      <c r="AF45" s="1">
        <f t="shared" si="17"/>
        <v>11398.766519451925</v>
      </c>
      <c r="AG45" s="1">
        <f t="shared" si="17"/>
        <v>633311.01107918029</v>
      </c>
      <c r="AH45" s="1">
        <f t="shared" si="17"/>
        <v>2630809.5749999965</v>
      </c>
    </row>
    <row r="46" spans="1:34" s="1" customFormat="1">
      <c r="A46" s="38"/>
      <c r="B46" s="38"/>
      <c r="C46" s="38">
        <v>20</v>
      </c>
      <c r="D46" s="38">
        <v>20</v>
      </c>
      <c r="E46" s="39"/>
      <c r="F46" s="5"/>
      <c r="G46" s="39"/>
      <c r="H46" s="39"/>
      <c r="I46" s="23"/>
      <c r="J46" s="21"/>
      <c r="K46" s="21"/>
      <c r="L46" s="21"/>
      <c r="M46" s="21"/>
      <c r="N46" s="21"/>
      <c r="O46" s="7"/>
      <c r="P46" s="7"/>
      <c r="Q46" s="7"/>
      <c r="R46" s="7"/>
      <c r="S46" s="7"/>
      <c r="T46" s="7"/>
      <c r="U46" s="7"/>
    </row>
    <row r="47" spans="1:34" s="1" customFormat="1">
      <c r="A47" s="38"/>
      <c r="B47" s="38"/>
      <c r="C47" s="38">
        <f>C45*C46</f>
        <v>2600</v>
      </c>
      <c r="D47" s="38">
        <f>D45*D46</f>
        <v>2200</v>
      </c>
      <c r="E47" s="39"/>
      <c r="F47" s="5"/>
      <c r="G47" s="39"/>
      <c r="H47" s="39"/>
      <c r="I47" s="23"/>
      <c r="J47" s="21"/>
      <c r="K47" s="21"/>
      <c r="L47" s="21"/>
      <c r="M47" s="21"/>
      <c r="N47" s="21"/>
      <c r="O47" s="7"/>
      <c r="P47" s="7"/>
      <c r="Q47" s="7"/>
      <c r="R47" s="7"/>
      <c r="S47" s="7"/>
      <c r="T47" s="7"/>
      <c r="U47" s="7"/>
      <c r="Y47" s="1">
        <f>COUNTA(Y10:Y40)</f>
        <v>31</v>
      </c>
      <c r="Z47" s="1">
        <f>Y45</f>
        <v>1069.4999999999998</v>
      </c>
      <c r="AA47" s="1">
        <f>AB45</f>
        <v>50016.949999999953</v>
      </c>
      <c r="AC47" s="1">
        <f>AA45</f>
        <v>219.7199479965723</v>
      </c>
      <c r="AE47" s="1">
        <f>AE45</f>
        <v>2721.7885403240016</v>
      </c>
    </row>
    <row r="48" spans="1:34" s="1" customFormat="1">
      <c r="A48" s="38"/>
      <c r="B48" s="38"/>
      <c r="C48" s="38"/>
      <c r="D48" s="38"/>
      <c r="E48" s="39"/>
      <c r="F48" s="5"/>
      <c r="G48" s="39"/>
      <c r="H48" s="39"/>
      <c r="I48" s="23"/>
      <c r="J48" s="21"/>
      <c r="K48" s="21"/>
      <c r="L48" s="21"/>
      <c r="M48" s="21"/>
      <c r="N48" s="21"/>
      <c r="O48" s="7"/>
      <c r="P48" s="7"/>
      <c r="Q48" s="7"/>
      <c r="R48" s="7"/>
      <c r="S48" s="7"/>
      <c r="T48" s="7"/>
      <c r="U48" s="7"/>
      <c r="Y48" s="1">
        <f>Y45</f>
        <v>1069.4999999999998</v>
      </c>
      <c r="Z48" s="1">
        <f>AC45</f>
        <v>50016.949999999953</v>
      </c>
      <c r="AA48" s="1">
        <f>AH45</f>
        <v>2630809.5749999965</v>
      </c>
      <c r="AC48" s="1">
        <f>AF45</f>
        <v>11398.766519451925</v>
      </c>
    </row>
    <row r="49" spans="1:36" s="1" customFormat="1">
      <c r="A49" s="38"/>
      <c r="B49" s="38"/>
      <c r="C49" s="38"/>
      <c r="D49" s="38"/>
      <c r="E49" s="39"/>
      <c r="F49" s="5"/>
      <c r="G49" s="39"/>
      <c r="H49" s="39"/>
      <c r="I49" s="23"/>
      <c r="J49" s="21"/>
      <c r="K49" s="21"/>
      <c r="L49" s="21"/>
      <c r="M49" s="21"/>
      <c r="N49" s="21"/>
      <c r="O49" s="7"/>
      <c r="P49" s="7"/>
      <c r="Q49" s="7"/>
      <c r="R49" s="7"/>
      <c r="S49" s="7"/>
      <c r="T49" s="7"/>
      <c r="U49" s="7"/>
      <c r="Y49" s="1">
        <f>AB45</f>
        <v>50016.949999999953</v>
      </c>
      <c r="Z49" s="1">
        <f>AH45</f>
        <v>2630809.5749999965</v>
      </c>
      <c r="AA49" s="1">
        <f>AD45</f>
        <v>147588115.41589972</v>
      </c>
      <c r="AC49" s="1">
        <f>AG45</f>
        <v>633311.01107918029</v>
      </c>
    </row>
    <row r="50" spans="1:36" s="1" customFormat="1">
      <c r="A50" s="38"/>
      <c r="B50" s="38"/>
      <c r="C50" s="38"/>
      <c r="D50" s="38"/>
      <c r="E50" s="39"/>
      <c r="F50" s="5"/>
      <c r="G50" s="39"/>
      <c r="H50" s="39"/>
      <c r="I50" s="23"/>
      <c r="J50" s="21"/>
      <c r="K50" s="21"/>
      <c r="L50" s="21"/>
      <c r="M50" s="21"/>
      <c r="N50" s="21"/>
      <c r="O50" s="7"/>
      <c r="P50" s="7"/>
      <c r="Q50" s="7"/>
      <c r="R50" s="7"/>
      <c r="S50" s="7"/>
      <c r="T50" s="7"/>
      <c r="U50" s="7"/>
    </row>
    <row r="51" spans="1:36" s="1" customFormat="1">
      <c r="A51" s="38"/>
      <c r="B51" s="38"/>
      <c r="C51" s="38"/>
      <c r="D51" s="38"/>
      <c r="E51" s="39"/>
      <c r="F51" s="5"/>
      <c r="G51" s="39"/>
      <c r="H51" s="39"/>
      <c r="I51" s="23"/>
      <c r="J51" s="21"/>
      <c r="K51" s="21"/>
      <c r="L51" s="21"/>
      <c r="M51" s="21"/>
      <c r="N51" s="21"/>
      <c r="O51" s="7"/>
      <c r="P51" s="7"/>
      <c r="Q51" s="7"/>
      <c r="R51" s="7"/>
      <c r="S51" s="7"/>
      <c r="T51" s="7"/>
      <c r="U51" s="7"/>
      <c r="Y51" s="1">
        <f>(Y47*((Z48*AA49)-(AA48*Z49)))-(Z47*((Y48*AA49)-(AA48*Y49)))+(AA47*((Y48*Z49)-(Z48*Y49)))</f>
        <v>1800747208927.3184</v>
      </c>
    </row>
    <row r="52" spans="1:36" s="1" customFormat="1">
      <c r="A52" s="38"/>
      <c r="B52" s="38"/>
      <c r="C52" s="38"/>
      <c r="D52" s="38"/>
      <c r="E52" s="39"/>
      <c r="F52" s="5"/>
      <c r="G52" s="39"/>
      <c r="H52" s="39"/>
      <c r="I52" s="23"/>
      <c r="J52" s="21"/>
      <c r="K52" s="21"/>
      <c r="L52" s="21"/>
      <c r="M52" s="21"/>
      <c r="N52" s="21"/>
      <c r="O52" s="7"/>
      <c r="P52" s="7"/>
      <c r="Q52" s="7"/>
      <c r="R52" s="7"/>
      <c r="S52" s="7"/>
      <c r="T52" s="7"/>
      <c r="U52" s="7"/>
    </row>
    <row r="53" spans="1:36" s="1" customFormat="1">
      <c r="A53" s="38"/>
      <c r="B53" s="38"/>
      <c r="C53" s="38"/>
      <c r="D53" s="38"/>
      <c r="E53" s="39"/>
      <c r="F53" s="5"/>
      <c r="G53" s="39"/>
      <c r="H53" s="39"/>
      <c r="I53" s="23"/>
      <c r="J53" s="21"/>
      <c r="K53" s="21"/>
      <c r="L53" s="21"/>
      <c r="M53" s="21"/>
      <c r="N53" s="21"/>
      <c r="O53" s="7"/>
      <c r="P53" s="7"/>
      <c r="Q53" s="7"/>
      <c r="R53" s="7"/>
      <c r="S53" s="7"/>
      <c r="T53" s="7"/>
      <c r="U53" s="7"/>
      <c r="Y53" s="1">
        <f>((Z48*AA49)-(AA48*Z49))/Y51</f>
        <v>0.25586510263929768</v>
      </c>
      <c r="Z53" s="1">
        <f>-1*(((Z47*AA49)-(AA47*Z49))/Y51)</f>
        <v>-1.458306770368494E-2</v>
      </c>
      <c r="AA53" s="1">
        <f>((Z47*AA48)-(AA47*Z48))/Y51</f>
        <v>1.7323672729490343E-4</v>
      </c>
      <c r="AC53" s="2" t="s">
        <v>25</v>
      </c>
      <c r="AD53" s="1">
        <f>(Y53*AC47)+(Z53*AC48)+(AA53*AC49)</f>
        <v>-0.2975899264369275</v>
      </c>
    </row>
    <row r="54" spans="1:36" s="1" customFormat="1">
      <c r="A54" s="38"/>
      <c r="B54" s="38"/>
      <c r="C54" s="38"/>
      <c r="D54" s="38"/>
      <c r="E54" s="39"/>
      <c r="F54" s="5"/>
      <c r="G54" s="39"/>
      <c r="H54" s="39"/>
      <c r="I54" s="23"/>
      <c r="J54" s="21"/>
      <c r="K54" s="21"/>
      <c r="L54" s="21"/>
      <c r="M54" s="21"/>
      <c r="N54" s="21"/>
      <c r="O54" s="7"/>
      <c r="P54" s="7"/>
      <c r="Q54" s="7"/>
      <c r="R54" s="7"/>
      <c r="S54" s="7"/>
      <c r="T54" s="7"/>
      <c r="U54" s="7"/>
      <c r="Y54" s="1">
        <f>Z53</f>
        <v>-1.458306770368494E-2</v>
      </c>
      <c r="Z54" s="1">
        <f>((Y47*AA49)-(AA47*Y49))/Y51</f>
        <v>1.1514866052884651E-3</v>
      </c>
      <c r="AA54" s="1">
        <f>-1*(((Y47*AA48)-(AA47*Y48))/Y51)</f>
        <v>-1.5583513699691417E-5</v>
      </c>
      <c r="AC54" s="2" t="s">
        <v>26</v>
      </c>
      <c r="AD54" s="1">
        <f>(Y54*AC47)+(Z54*AC48)+(AA54*AC49)</f>
        <v>5.2125269157533793E-2</v>
      </c>
    </row>
    <row r="55" spans="1:36" s="1" customFormat="1">
      <c r="A55" s="38"/>
      <c r="B55" s="38"/>
      <c r="C55" s="38"/>
      <c r="D55" s="38"/>
      <c r="E55" s="39"/>
      <c r="F55" s="5"/>
      <c r="G55" s="39"/>
      <c r="H55" s="39"/>
      <c r="I55" s="23"/>
      <c r="J55" s="21"/>
      <c r="K55" s="21"/>
      <c r="L55" s="21"/>
      <c r="M55" s="21"/>
      <c r="N55" s="21"/>
      <c r="O55" s="7"/>
      <c r="P55" s="7"/>
      <c r="Q55" s="7"/>
      <c r="R55" s="7"/>
      <c r="S55" s="7"/>
      <c r="T55" s="7"/>
      <c r="U55" s="7"/>
      <c r="Y55" s="1">
        <f>AA53</f>
        <v>1.7323672729490343E-4</v>
      </c>
      <c r="Z55" s="1">
        <f>AA54</f>
        <v>-1.5583513699691417E-5</v>
      </c>
      <c r="AA55" s="1">
        <f>((Y47*Z48)-(Z47*Y48))/Y51</f>
        <v>2.2584802463320883E-7</v>
      </c>
      <c r="AC55" s="2" t="s">
        <v>27</v>
      </c>
      <c r="AD55" s="1">
        <f>(Y55*AC47)+(Z55*AC48)+(AA55*AC49)</f>
        <v>3.4627713275627303E-3</v>
      </c>
    </row>
    <row r="56" spans="1:36" s="1" customFormat="1">
      <c r="A56" s="38"/>
      <c r="B56" s="38"/>
      <c r="C56" s="38"/>
      <c r="D56" s="38"/>
      <c r="E56" s="39"/>
      <c r="F56" s="5"/>
      <c r="G56" s="39"/>
      <c r="H56" s="39"/>
      <c r="I56" s="23"/>
      <c r="J56" s="21"/>
      <c r="K56" s="21"/>
      <c r="L56" s="21"/>
      <c r="M56" s="21"/>
      <c r="N56" s="21"/>
      <c r="O56" s="7"/>
      <c r="P56" s="7"/>
      <c r="Q56" s="7"/>
      <c r="R56" s="7"/>
      <c r="S56" s="7"/>
      <c r="T56" s="7"/>
      <c r="U56" s="7"/>
      <c r="Y56"/>
      <c r="Z56"/>
      <c r="AA56"/>
      <c r="AB56"/>
      <c r="AC56"/>
      <c r="AD56"/>
      <c r="AE56"/>
      <c r="AF56"/>
      <c r="AG56"/>
      <c r="AH56"/>
      <c r="AI56"/>
    </row>
    <row r="57" spans="1:36" s="1" customFormat="1">
      <c r="A57" s="38"/>
      <c r="B57" s="40"/>
      <c r="C57" s="40"/>
      <c r="D57" s="38"/>
      <c r="E57" s="23"/>
      <c r="F57" s="51"/>
      <c r="G57" s="23"/>
      <c r="H57" s="23"/>
      <c r="I57" s="23"/>
      <c r="J57" s="21"/>
      <c r="K57" s="21"/>
      <c r="L57" s="21"/>
      <c r="M57" s="21"/>
      <c r="N57" s="21"/>
      <c r="O57" s="7"/>
      <c r="P57" s="7"/>
      <c r="Q57" s="7"/>
      <c r="R57" s="7"/>
      <c r="S57" s="7"/>
      <c r="T57" s="7"/>
      <c r="U57" s="7"/>
      <c r="Y57"/>
      <c r="Z57"/>
      <c r="AA57"/>
      <c r="AB57"/>
      <c r="AC57"/>
      <c r="AD57"/>
      <c r="AE57"/>
      <c r="AF57"/>
      <c r="AG57"/>
      <c r="AH57"/>
      <c r="AI57"/>
    </row>
    <row r="58" spans="1:36" s="1" customFormat="1">
      <c r="A58" s="41" t="s">
        <v>20</v>
      </c>
      <c r="B58" s="40"/>
      <c r="C58" s="40"/>
      <c r="D58" s="38"/>
      <c r="E58" s="23"/>
      <c r="F58" s="51"/>
      <c r="G58" s="23"/>
      <c r="H58" s="23"/>
      <c r="I58" s="23"/>
      <c r="J58" s="21"/>
      <c r="K58" s="21"/>
      <c r="L58" s="21"/>
      <c r="M58" s="21"/>
      <c r="N58" s="21"/>
      <c r="O58" s="7"/>
      <c r="P58" s="7"/>
      <c r="Q58" s="7"/>
      <c r="R58" s="7"/>
      <c r="S58" s="7"/>
      <c r="T58" s="7"/>
      <c r="U58" s="7"/>
      <c r="Y58"/>
      <c r="Z58"/>
      <c r="AA58"/>
      <c r="AB58"/>
      <c r="AC58"/>
      <c r="AD58"/>
      <c r="AE58"/>
      <c r="AF58"/>
      <c r="AG58"/>
      <c r="AH58"/>
      <c r="AI58"/>
    </row>
    <row r="59" spans="1:36" s="1" customFormat="1">
      <c r="A59" s="40"/>
      <c r="B59" s="40"/>
      <c r="C59" s="40"/>
      <c r="D59" s="38"/>
      <c r="E59" s="23"/>
      <c r="F59" s="51"/>
      <c r="G59" s="23"/>
      <c r="H59" s="23"/>
      <c r="I59" s="16"/>
      <c r="J59" s="16"/>
      <c r="K59" s="16"/>
      <c r="L59" s="16"/>
      <c r="M59" s="16"/>
      <c r="N59" s="16"/>
      <c r="O59"/>
      <c r="P59"/>
      <c r="Q59"/>
      <c r="R59"/>
      <c r="S59"/>
      <c r="T59"/>
      <c r="U59"/>
      <c r="Y59"/>
      <c r="Z59"/>
      <c r="AA59"/>
      <c r="AB59"/>
      <c r="AC59"/>
      <c r="AD59"/>
      <c r="AE59"/>
      <c r="AF59"/>
      <c r="AG59"/>
      <c r="AH59"/>
      <c r="AI59"/>
    </row>
    <row r="60" spans="1:36" s="1" customFormat="1">
      <c r="A60" s="42">
        <v>9.3257999999999992</v>
      </c>
      <c r="B60" s="41" t="s">
        <v>21</v>
      </c>
      <c r="C60" s="16"/>
      <c r="D60" s="41" t="s">
        <v>22</v>
      </c>
      <c r="E60" s="41" t="s">
        <v>23</v>
      </c>
      <c r="F60" s="50" t="s">
        <v>24</v>
      </c>
      <c r="G60" s="23"/>
      <c r="H60" s="23"/>
      <c r="I60" s="16"/>
      <c r="J60" s="16"/>
      <c r="K60" s="16"/>
      <c r="L60" s="16"/>
      <c r="M60" s="16"/>
      <c r="N60" s="16"/>
      <c r="O60"/>
      <c r="P60"/>
      <c r="Q60"/>
      <c r="R60"/>
      <c r="S60"/>
      <c r="T60"/>
      <c r="U60"/>
      <c r="Y60"/>
      <c r="Z60"/>
      <c r="AA60"/>
      <c r="AB60"/>
      <c r="AC60"/>
      <c r="AD60"/>
      <c r="AE60"/>
      <c r="AF60"/>
      <c r="AG60"/>
      <c r="AH60"/>
      <c r="AI60"/>
    </row>
    <row r="61" spans="1:36" s="1" customFormat="1">
      <c r="A61" s="42">
        <v>9.0851199999999999</v>
      </c>
      <c r="B61" s="40"/>
      <c r="C61" s="16"/>
      <c r="D61" s="38"/>
      <c r="E61" s="38"/>
      <c r="F61" s="53"/>
      <c r="G61" s="39"/>
      <c r="H61" s="39"/>
      <c r="I61" s="16"/>
      <c r="J61" s="16"/>
      <c r="K61" s="16"/>
      <c r="L61" s="16"/>
      <c r="M61" s="16"/>
      <c r="N61" s="16"/>
      <c r="O61"/>
      <c r="P61"/>
      <c r="Q61"/>
      <c r="R61"/>
      <c r="S61"/>
      <c r="T61"/>
      <c r="U61"/>
      <c r="Y61"/>
      <c r="Z61"/>
      <c r="AA61"/>
      <c r="AB61"/>
      <c r="AC61"/>
      <c r="AD61"/>
      <c r="AE61"/>
      <c r="AF61"/>
      <c r="AG61"/>
      <c r="AH61"/>
      <c r="AI61"/>
    </row>
    <row r="62" spans="1:36" s="1" customFormat="1">
      <c r="A62" s="42">
        <v>9.3727999999999998</v>
      </c>
      <c r="B62" s="42">
        <f t="shared" ref="B62:B68" si="18">A60*0.454</f>
        <v>4.2339131999999999</v>
      </c>
      <c r="C62" s="43"/>
      <c r="D62" s="44">
        <v>4.71</v>
      </c>
      <c r="E62" s="44">
        <v>1.98</v>
      </c>
      <c r="F62" s="54">
        <f>E62*D62</f>
        <v>9.3257999999999992</v>
      </c>
      <c r="G62" s="39"/>
      <c r="H62" s="39"/>
      <c r="I62" s="39"/>
      <c r="J62" s="16"/>
      <c r="K62" s="16"/>
      <c r="L62" s="16"/>
      <c r="M62" s="16"/>
      <c r="N62" s="16"/>
      <c r="O62"/>
      <c r="P62"/>
      <c r="Q62"/>
      <c r="R62"/>
      <c r="S62"/>
      <c r="T62"/>
      <c r="U62"/>
      <c r="Y62"/>
      <c r="Z62"/>
      <c r="AA62"/>
      <c r="AB62"/>
      <c r="AC62"/>
      <c r="AD62"/>
      <c r="AE62"/>
      <c r="AF62"/>
      <c r="AG62"/>
      <c r="AH62"/>
      <c r="AI62"/>
    </row>
    <row r="63" spans="1:36" s="1" customFormat="1">
      <c r="A63" s="42">
        <v>11.55472</v>
      </c>
      <c r="B63" s="42">
        <f t="shared" si="18"/>
        <v>4.1246444799999997</v>
      </c>
      <c r="C63" s="43"/>
      <c r="D63" s="44">
        <v>4.6399999999999997</v>
      </c>
      <c r="E63" s="44">
        <v>1.958</v>
      </c>
      <c r="F63" s="54">
        <f t="shared" ref="F63:F68" si="19">E63*D63</f>
        <v>9.0851199999999999</v>
      </c>
      <c r="G63" s="39"/>
      <c r="H63" s="39"/>
      <c r="I63" s="39"/>
      <c r="J63" s="16"/>
      <c r="K63" s="16"/>
      <c r="L63" s="16"/>
      <c r="M63" s="16"/>
      <c r="N63" s="16"/>
      <c r="O63"/>
      <c r="P63"/>
      <c r="Q63"/>
      <c r="R63"/>
      <c r="S63"/>
      <c r="T63"/>
      <c r="U63"/>
      <c r="Y63"/>
      <c r="Z63"/>
      <c r="AA63"/>
      <c r="AB63"/>
      <c r="AC63"/>
      <c r="AD63"/>
      <c r="AE63"/>
      <c r="AF63"/>
      <c r="AG63"/>
      <c r="AH63"/>
      <c r="AI63"/>
    </row>
    <row r="64" spans="1:36" s="1" customFormat="1">
      <c r="A64" s="42">
        <v>7.6896399999999989</v>
      </c>
      <c r="B64" s="42">
        <f t="shared" si="18"/>
        <v>4.2552512</v>
      </c>
      <c r="C64" s="43"/>
      <c r="D64" s="44">
        <v>4.6399999999999997</v>
      </c>
      <c r="E64" s="44">
        <v>2.02</v>
      </c>
      <c r="F64" s="54">
        <f t="shared" si="19"/>
        <v>9.3727999999999998</v>
      </c>
      <c r="G64" s="39"/>
      <c r="H64" s="39"/>
      <c r="I64" s="39"/>
      <c r="J64" s="16"/>
      <c r="K64" s="16"/>
      <c r="L64" s="16"/>
      <c r="M64" s="16"/>
      <c r="N64" s="16"/>
      <c r="O64"/>
      <c r="P64"/>
      <c r="Q64"/>
      <c r="R64"/>
      <c r="S64"/>
      <c r="T64"/>
      <c r="U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" customFormat="1">
      <c r="A65" s="42">
        <v>4.04</v>
      </c>
      <c r="B65" s="42">
        <f t="shared" si="18"/>
        <v>5.2458428799999997</v>
      </c>
      <c r="C65" s="43"/>
      <c r="D65" s="44">
        <v>5.62</v>
      </c>
      <c r="E65" s="44">
        <v>2.056</v>
      </c>
      <c r="F65" s="54">
        <f t="shared" si="19"/>
        <v>11.55472</v>
      </c>
      <c r="G65" s="39"/>
      <c r="H65" s="39"/>
      <c r="I65" s="39"/>
      <c r="J65" s="16"/>
      <c r="K65" s="16"/>
      <c r="L65" s="16"/>
      <c r="M65" s="16"/>
      <c r="N65" s="16"/>
      <c r="O65"/>
      <c r="P65"/>
      <c r="Q65"/>
      <c r="R65"/>
      <c r="S65"/>
      <c r="T65"/>
      <c r="U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" customFormat="1">
      <c r="A66" s="42">
        <v>4.04</v>
      </c>
      <c r="B66" s="42">
        <f t="shared" si="18"/>
        <v>3.4910965599999995</v>
      </c>
      <c r="C66" s="43"/>
      <c r="D66" s="44">
        <v>4.0599999999999996</v>
      </c>
      <c r="E66" s="44">
        <v>1.8939999999999999</v>
      </c>
      <c r="F66" s="54">
        <f t="shared" si="19"/>
        <v>7.6896399999999989</v>
      </c>
      <c r="G66" s="39"/>
      <c r="H66" s="39"/>
      <c r="I66" s="39"/>
      <c r="J66" s="16"/>
      <c r="K66" s="16"/>
      <c r="L66" s="16"/>
      <c r="M66" s="16"/>
      <c r="N66" s="16"/>
      <c r="O66"/>
      <c r="P66"/>
      <c r="Q66"/>
      <c r="R66"/>
      <c r="S66"/>
      <c r="T66"/>
      <c r="U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" customFormat="1">
      <c r="A67" s="39"/>
      <c r="B67" s="42">
        <f t="shared" si="18"/>
        <v>1.83416</v>
      </c>
      <c r="C67" s="43"/>
      <c r="D67" s="44">
        <v>4.75</v>
      </c>
      <c r="E67" s="44">
        <v>1.9590000000000001</v>
      </c>
      <c r="F67" s="54">
        <f t="shared" si="19"/>
        <v>9.3052500000000009</v>
      </c>
      <c r="G67" s="39"/>
      <c r="H67" s="39"/>
      <c r="I67" s="39"/>
      <c r="J67" s="16"/>
      <c r="K67" s="16"/>
      <c r="L67" s="16"/>
      <c r="M67" s="16"/>
      <c r="N67" s="16"/>
      <c r="O67"/>
      <c r="P67"/>
      <c r="Q67"/>
      <c r="R67"/>
      <c r="S67"/>
      <c r="T67"/>
      <c r="U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" customFormat="1" ht="14" thickBot="1">
      <c r="A68" s="39"/>
      <c r="B68" s="42">
        <f t="shared" si="18"/>
        <v>1.83416</v>
      </c>
      <c r="C68" s="43"/>
      <c r="D68" s="44">
        <v>4.75</v>
      </c>
      <c r="E68" s="44">
        <v>1.9590000000000001</v>
      </c>
      <c r="F68" s="54">
        <f t="shared" si="19"/>
        <v>9.3052500000000009</v>
      </c>
      <c r="G68" s="39"/>
      <c r="H68" s="39"/>
      <c r="I68" s="39"/>
      <c r="J68" s="16"/>
      <c r="K68" s="16"/>
      <c r="L68" s="16"/>
      <c r="M68" s="16"/>
      <c r="N68" s="16"/>
      <c r="O68"/>
      <c r="P68"/>
      <c r="Q68"/>
      <c r="R68"/>
      <c r="S68"/>
      <c r="T68"/>
      <c r="U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" customFormat="1" ht="14" thickBot="1">
      <c r="A69" s="45">
        <v>1</v>
      </c>
      <c r="B69" s="39"/>
      <c r="C69" s="39"/>
      <c r="D69" s="39"/>
      <c r="E69" s="39"/>
      <c r="F69" s="5"/>
      <c r="G69" s="39"/>
      <c r="H69" s="39"/>
      <c r="I69" s="46">
        <v>19</v>
      </c>
      <c r="J69" s="46">
        <v>0.14000000000000001</v>
      </c>
      <c r="K69" s="39"/>
      <c r="L69" s="46">
        <v>1.05</v>
      </c>
      <c r="M69" s="16"/>
      <c r="N69" s="16"/>
      <c r="O69"/>
      <c r="P69"/>
      <c r="Q69"/>
      <c r="R69"/>
      <c r="S69"/>
      <c r="T69"/>
      <c r="U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" customFormat="1" ht="14" thickBot="1">
      <c r="A70" s="47">
        <v>2</v>
      </c>
      <c r="B70" s="39"/>
      <c r="C70" s="39"/>
      <c r="D70" s="39"/>
      <c r="E70" s="39"/>
      <c r="F70" s="5"/>
      <c r="G70" s="39"/>
      <c r="H70" s="39"/>
      <c r="I70" s="48">
        <v>21</v>
      </c>
      <c r="J70" s="48">
        <v>0.2</v>
      </c>
      <c r="K70" s="39"/>
      <c r="L70" s="48">
        <v>1.1399999999999999</v>
      </c>
      <c r="M70" s="16"/>
      <c r="N70" s="16"/>
      <c r="O70"/>
      <c r="P70"/>
      <c r="Q70"/>
      <c r="R70"/>
      <c r="S70"/>
      <c r="T70"/>
      <c r="U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" customFormat="1" ht="14" thickBot="1">
      <c r="A71" s="47">
        <v>3</v>
      </c>
      <c r="B71" s="46">
        <v>0.28999999999999998</v>
      </c>
      <c r="C71" s="46">
        <v>4.2000000000000003E-2</v>
      </c>
      <c r="D71" s="46">
        <v>0.31</v>
      </c>
      <c r="E71" s="46">
        <v>0.31</v>
      </c>
      <c r="F71" s="55">
        <v>1.05</v>
      </c>
      <c r="G71" s="46">
        <v>1</v>
      </c>
      <c r="H71" s="39"/>
      <c r="I71" s="48">
        <v>30</v>
      </c>
      <c r="J71" s="48">
        <v>0.42</v>
      </c>
      <c r="K71" s="39"/>
      <c r="L71" s="48">
        <v>1.23</v>
      </c>
      <c r="M71" s="16"/>
      <c r="N71" s="16"/>
      <c r="O71"/>
      <c r="P71"/>
      <c r="Q71"/>
      <c r="R71"/>
      <c r="S71"/>
      <c r="T71"/>
      <c r="U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" customFormat="1" ht="14" thickBot="1">
      <c r="A72" s="47">
        <v>4</v>
      </c>
      <c r="B72" s="48">
        <v>0.66</v>
      </c>
      <c r="C72" s="48">
        <v>4.7E-2</v>
      </c>
      <c r="D72" s="48">
        <v>0.45</v>
      </c>
      <c r="E72" s="48">
        <v>0.76</v>
      </c>
      <c r="F72" s="56">
        <v>1.1399999999999999</v>
      </c>
      <c r="G72" s="48">
        <v>2</v>
      </c>
      <c r="H72" s="39"/>
      <c r="I72" s="48">
        <v>37</v>
      </c>
      <c r="J72" s="48">
        <v>0.56999999999999995</v>
      </c>
      <c r="K72" s="39"/>
      <c r="L72" s="48">
        <v>1.3</v>
      </c>
      <c r="M72" s="16"/>
      <c r="N72" s="16"/>
      <c r="O72"/>
      <c r="P72"/>
      <c r="Q72"/>
      <c r="R72"/>
      <c r="S72"/>
      <c r="T72"/>
      <c r="U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" customFormat="1" ht="14" thickBot="1">
      <c r="A73" s="47">
        <v>5</v>
      </c>
      <c r="B73" s="48">
        <v>1.37</v>
      </c>
      <c r="C73" s="48">
        <v>6.5000000000000002E-2</v>
      </c>
      <c r="D73" s="48">
        <v>0.93</v>
      </c>
      <c r="E73" s="48">
        <v>1.69</v>
      </c>
      <c r="F73" s="56">
        <v>1.23</v>
      </c>
      <c r="G73" s="48">
        <v>3</v>
      </c>
      <c r="H73" s="39"/>
      <c r="I73" s="48">
        <v>43</v>
      </c>
      <c r="J73" s="48">
        <v>0.76</v>
      </c>
      <c r="K73" s="39"/>
      <c r="L73" s="48">
        <v>1.4</v>
      </c>
      <c r="M73" s="16"/>
      <c r="N73" s="16"/>
      <c r="O73"/>
      <c r="P73"/>
      <c r="Q73"/>
      <c r="R73"/>
      <c r="S73"/>
      <c r="T73"/>
      <c r="U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" customFormat="1" ht="14" thickBot="1">
      <c r="A74" s="47">
        <v>6</v>
      </c>
      <c r="B74" s="48">
        <v>2.27</v>
      </c>
      <c r="C74" s="48">
        <v>8.1000000000000003E-2</v>
      </c>
      <c r="D74" s="48">
        <v>1.27</v>
      </c>
      <c r="E74" s="48">
        <v>2.95</v>
      </c>
      <c r="F74" s="56">
        <v>1.3</v>
      </c>
      <c r="G74" s="48">
        <v>4</v>
      </c>
      <c r="H74" s="39"/>
      <c r="I74" s="48">
        <v>50</v>
      </c>
      <c r="J74" s="48">
        <v>1.02</v>
      </c>
      <c r="K74" s="39"/>
      <c r="L74" s="48">
        <v>1.49</v>
      </c>
      <c r="M74" s="16"/>
      <c r="N74" s="16"/>
      <c r="O74"/>
      <c r="P74"/>
      <c r="Q74"/>
      <c r="R74"/>
      <c r="S74"/>
      <c r="T74"/>
      <c r="U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" customFormat="1" ht="14" thickBot="1">
      <c r="A75" s="47">
        <v>7</v>
      </c>
      <c r="B75" s="48">
        <v>3.3</v>
      </c>
      <c r="C75" s="48">
        <v>9.4E-2</v>
      </c>
      <c r="D75" s="48">
        <v>1.67</v>
      </c>
      <c r="E75" s="48">
        <v>4.62</v>
      </c>
      <c r="F75" s="56">
        <v>1.4</v>
      </c>
      <c r="G75" s="48">
        <v>5</v>
      </c>
      <c r="H75" s="39"/>
      <c r="I75" s="48">
        <v>56</v>
      </c>
      <c r="J75" s="48">
        <v>1.25</v>
      </c>
      <c r="K75" s="39"/>
      <c r="L75" s="48">
        <v>1.58</v>
      </c>
      <c r="M75" s="16"/>
      <c r="N75" s="16"/>
      <c r="O75"/>
      <c r="P75"/>
      <c r="Q75"/>
      <c r="R75"/>
      <c r="S75"/>
      <c r="T75"/>
      <c r="U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" customFormat="1" ht="14" thickBot="1">
      <c r="A76" s="47">
        <v>8</v>
      </c>
      <c r="B76" s="48">
        <v>4.62</v>
      </c>
      <c r="C76" s="48">
        <v>0.11</v>
      </c>
      <c r="D76" s="48">
        <v>2.2599999999999998</v>
      </c>
      <c r="E76" s="48">
        <v>6.88</v>
      </c>
      <c r="F76" s="56">
        <v>1.49</v>
      </c>
      <c r="G76" s="48">
        <v>6</v>
      </c>
      <c r="H76" s="39"/>
      <c r="I76" s="48">
        <v>63</v>
      </c>
      <c r="J76" s="48">
        <v>1.42</v>
      </c>
      <c r="K76" s="39"/>
      <c r="L76" s="48">
        <v>1.65</v>
      </c>
      <c r="M76" s="16"/>
      <c r="N76" s="16"/>
      <c r="O76"/>
      <c r="P76"/>
      <c r="Q76"/>
      <c r="R76"/>
      <c r="S76"/>
      <c r="T76"/>
      <c r="U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ht="14" thickBot="1">
      <c r="A77" s="47">
        <v>9</v>
      </c>
      <c r="B77" s="48">
        <v>6.1</v>
      </c>
      <c r="C77" s="48">
        <v>0.125</v>
      </c>
      <c r="D77" s="48">
        <v>2.76</v>
      </c>
      <c r="E77" s="48">
        <v>9.64</v>
      </c>
      <c r="F77" s="56">
        <v>1.58</v>
      </c>
      <c r="G77" s="48">
        <v>7</v>
      </c>
      <c r="H77" s="39"/>
      <c r="I77" s="48">
        <v>68</v>
      </c>
      <c r="J77" s="48">
        <v>1.62</v>
      </c>
      <c r="K77" s="39"/>
      <c r="L77" s="48">
        <v>1.72</v>
      </c>
      <c r="M77" s="16"/>
      <c r="N77" s="16"/>
      <c r="O77"/>
      <c r="P77"/>
      <c r="Q77"/>
      <c r="R77"/>
      <c r="S77"/>
      <c r="T77"/>
      <c r="U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ht="14" thickBot="1">
      <c r="A78" s="47">
        <v>10</v>
      </c>
      <c r="B78" s="48">
        <v>7.74</v>
      </c>
      <c r="C78" s="48">
        <v>0.13800000000000001</v>
      </c>
      <c r="D78" s="48">
        <v>3.13</v>
      </c>
      <c r="E78" s="48">
        <v>12.77</v>
      </c>
      <c r="F78" s="56">
        <v>1.65</v>
      </c>
      <c r="G78" s="48">
        <v>8</v>
      </c>
      <c r="H78" s="39"/>
      <c r="I78" s="48">
        <v>74</v>
      </c>
      <c r="J78" s="48">
        <v>1.81</v>
      </c>
      <c r="K78" s="39"/>
      <c r="L78" s="48">
        <v>1.79</v>
      </c>
      <c r="M78" s="16"/>
      <c r="N78" s="16"/>
      <c r="O78"/>
      <c r="P78"/>
      <c r="Q78"/>
      <c r="R78"/>
      <c r="S78"/>
      <c r="T78"/>
      <c r="U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" customFormat="1" ht="14" thickBot="1">
      <c r="A79" s="47">
        <v>11</v>
      </c>
      <c r="B79" s="48">
        <v>9.5</v>
      </c>
      <c r="C79" s="48">
        <v>0.151</v>
      </c>
      <c r="D79" s="48">
        <v>3.57</v>
      </c>
      <c r="E79" s="48">
        <v>16.329999999999998</v>
      </c>
      <c r="F79" s="56">
        <v>1.72</v>
      </c>
      <c r="G79" s="48">
        <v>9</v>
      </c>
      <c r="H79" s="39"/>
      <c r="I79" s="48">
        <v>77</v>
      </c>
      <c r="J79" s="48">
        <v>1.9</v>
      </c>
      <c r="K79" s="39"/>
      <c r="L79" s="48">
        <v>1.88</v>
      </c>
      <c r="M79" s="16"/>
      <c r="N79" s="16"/>
      <c r="O79"/>
      <c r="P79"/>
      <c r="Q79"/>
      <c r="R79"/>
      <c r="S79"/>
      <c r="T79"/>
      <c r="U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" customFormat="1" ht="14" thickBot="1">
      <c r="A80" s="47">
        <v>12</v>
      </c>
      <c r="B80" s="48">
        <v>11.35</v>
      </c>
      <c r="C80" s="48">
        <v>0.16200000000000001</v>
      </c>
      <c r="D80" s="48">
        <v>3.98</v>
      </c>
      <c r="E80" s="48">
        <v>20.32</v>
      </c>
      <c r="F80" s="56">
        <v>1.79</v>
      </c>
      <c r="G80" s="48">
        <v>10</v>
      </c>
      <c r="H80" s="39"/>
      <c r="I80" s="48">
        <v>79</v>
      </c>
      <c r="J80" s="48">
        <v>1.9</v>
      </c>
      <c r="K80" s="39"/>
      <c r="L80" s="48">
        <v>1.96</v>
      </c>
      <c r="M80" s="16"/>
      <c r="N80" s="16"/>
      <c r="O80"/>
      <c r="P80"/>
      <c r="Q80"/>
      <c r="R80"/>
      <c r="S80"/>
      <c r="T80"/>
      <c r="U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" customFormat="1" ht="14" thickBot="1">
      <c r="A81" s="39"/>
      <c r="B81" s="48">
        <v>13.03</v>
      </c>
      <c r="C81" s="48">
        <v>0.16900000000000001</v>
      </c>
      <c r="D81" s="48">
        <v>4.18</v>
      </c>
      <c r="E81" s="48">
        <v>24.5</v>
      </c>
      <c r="F81" s="56">
        <v>1.88</v>
      </c>
      <c r="G81" s="48">
        <v>11</v>
      </c>
      <c r="H81" s="39"/>
      <c r="I81" s="39"/>
      <c r="J81" s="16"/>
      <c r="K81" s="16"/>
      <c r="L81" s="16"/>
      <c r="M81" s="16"/>
      <c r="N81" s="16"/>
      <c r="O81"/>
      <c r="P81"/>
      <c r="Q81"/>
      <c r="R81"/>
      <c r="S81"/>
      <c r="T81"/>
      <c r="U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1" customFormat="1" ht="14" thickBot="1">
      <c r="A82" s="39"/>
      <c r="B82" s="48">
        <v>14.63</v>
      </c>
      <c r="C82" s="48">
        <v>0.17399999999999999</v>
      </c>
      <c r="D82" s="48">
        <v>4.18</v>
      </c>
      <c r="E82" s="48">
        <v>28.67</v>
      </c>
      <c r="F82" s="56">
        <v>1.96</v>
      </c>
      <c r="G82" s="48">
        <v>12</v>
      </c>
      <c r="H82" s="39"/>
      <c r="I82" s="39"/>
      <c r="J82" s="16"/>
      <c r="K82" s="16"/>
      <c r="L82" s="16"/>
      <c r="M82" s="16"/>
      <c r="N82" s="16"/>
      <c r="O82"/>
      <c r="P82"/>
      <c r="Q82"/>
      <c r="R82"/>
      <c r="S82"/>
      <c r="T82"/>
      <c r="U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1" customFormat="1">
      <c r="A83" s="39"/>
      <c r="B83" s="39"/>
      <c r="C83" s="39"/>
      <c r="D83" s="39"/>
      <c r="E83" s="39"/>
      <c r="F83" s="5"/>
      <c r="G83" s="39"/>
      <c r="H83" s="39"/>
      <c r="I83" s="15">
        <v>0.14000000000000001</v>
      </c>
      <c r="J83" s="15">
        <v>0.13</v>
      </c>
      <c r="K83" s="16"/>
      <c r="L83" s="16"/>
      <c r="M83" s="16"/>
      <c r="N83" s="16"/>
      <c r="O83"/>
      <c r="P83"/>
      <c r="Q83"/>
      <c r="R83"/>
      <c r="S83"/>
      <c r="T83"/>
      <c r="U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1" customFormat="1">
      <c r="A84" s="39"/>
      <c r="B84" s="39"/>
      <c r="C84" s="39"/>
      <c r="D84" s="39"/>
      <c r="E84" s="39"/>
      <c r="F84" s="5"/>
      <c r="G84" s="39"/>
      <c r="H84" s="39"/>
      <c r="I84" s="15">
        <v>0.34</v>
      </c>
      <c r="J84" s="15">
        <v>0.3</v>
      </c>
      <c r="K84" s="16"/>
      <c r="L84" s="16"/>
      <c r="M84" s="16"/>
      <c r="N84" s="16"/>
      <c r="O84"/>
      <c r="P84"/>
      <c r="Q84"/>
      <c r="R84"/>
      <c r="S84"/>
      <c r="T84"/>
      <c r="U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1" customFormat="1">
      <c r="A85" s="39"/>
      <c r="B85" s="39"/>
      <c r="C85" s="39"/>
      <c r="D85" s="39"/>
      <c r="E85" s="39"/>
      <c r="F85" s="5"/>
      <c r="G85" s="39"/>
      <c r="I85" s="15">
        <v>0.77</v>
      </c>
      <c r="J85" s="15">
        <v>0.62</v>
      </c>
      <c r="K85" s="16"/>
      <c r="L85" s="16"/>
      <c r="M85" s="16"/>
      <c r="N85" s="16"/>
      <c r="O85"/>
      <c r="P85"/>
      <c r="Q85"/>
      <c r="R85"/>
      <c r="S85"/>
      <c r="T85"/>
      <c r="U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1" customFormat="1">
      <c r="A86" s="39"/>
      <c r="B86" s="39"/>
      <c r="C86" s="39"/>
      <c r="D86" s="39"/>
      <c r="E86" s="39"/>
      <c r="F86" s="5"/>
      <c r="G86" s="39"/>
      <c r="I86" s="15">
        <v>1.34</v>
      </c>
      <c r="J86" s="15">
        <v>1.03</v>
      </c>
      <c r="K86" s="16"/>
      <c r="L86" s="16"/>
      <c r="M86" s="16"/>
      <c r="N86" s="16"/>
      <c r="O86"/>
      <c r="P86"/>
      <c r="Q86"/>
      <c r="R86"/>
      <c r="S86"/>
      <c r="T86"/>
      <c r="U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1" customFormat="1">
      <c r="A87" s="39"/>
      <c r="B87" s="39"/>
      <c r="C87" s="39"/>
      <c r="D87" s="39"/>
      <c r="E87" s="39"/>
      <c r="F87" s="5"/>
      <c r="G87" s="39"/>
      <c r="I87" s="15">
        <v>2.1</v>
      </c>
      <c r="J87" s="15">
        <v>1.5</v>
      </c>
      <c r="K87" s="16"/>
      <c r="L87" s="16"/>
      <c r="M87" s="16"/>
      <c r="N87" s="16"/>
      <c r="O87"/>
      <c r="P87"/>
      <c r="Q87"/>
      <c r="R87"/>
      <c r="S87"/>
      <c r="T87"/>
      <c r="U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1" customFormat="1">
      <c r="A88" s="39"/>
      <c r="B88" s="39"/>
      <c r="C88" s="39"/>
      <c r="D88" s="39"/>
      <c r="E88" s="39"/>
      <c r="F88" s="5"/>
      <c r="G88" s="39"/>
      <c r="I88" s="15">
        <v>3.12</v>
      </c>
      <c r="J88" s="15">
        <v>2.09</v>
      </c>
      <c r="K88" s="16"/>
      <c r="L88" s="16"/>
      <c r="M88" s="16"/>
      <c r="N88" s="16"/>
      <c r="O88"/>
      <c r="P88"/>
      <c r="Q88"/>
      <c r="R88"/>
      <c r="S88"/>
      <c r="T88"/>
      <c r="U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1" customFormat="1">
      <c r="A89" s="39"/>
      <c r="B89" s="39"/>
      <c r="C89" s="39"/>
      <c r="D89" s="39"/>
      <c r="E89" s="39"/>
      <c r="F89" s="5"/>
      <c r="G89" s="39"/>
      <c r="I89" s="15">
        <v>4.37</v>
      </c>
      <c r="J89" s="15">
        <v>2.77</v>
      </c>
      <c r="K89" s="16"/>
      <c r="L89" s="16"/>
      <c r="M89" s="16"/>
      <c r="N89" s="16"/>
      <c r="O89"/>
      <c r="P89"/>
      <c r="Q89"/>
      <c r="R89"/>
      <c r="S89"/>
      <c r="T89"/>
      <c r="U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1" customFormat="1">
      <c r="A90" s="39"/>
      <c r="B90" s="39"/>
      <c r="C90" s="39"/>
      <c r="D90" s="39"/>
      <c r="E90" s="39"/>
      <c r="F90" s="5"/>
      <c r="G90" s="39"/>
      <c r="I90" s="15">
        <v>5.79</v>
      </c>
      <c r="J90" s="15">
        <v>3.51</v>
      </c>
      <c r="K90" s="16"/>
      <c r="L90" s="16"/>
      <c r="M90" s="16"/>
      <c r="N90" s="16"/>
      <c r="O90"/>
      <c r="P90"/>
      <c r="Q90"/>
      <c r="R90"/>
      <c r="S90"/>
      <c r="T90"/>
      <c r="U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>
      <c r="C91" s="39"/>
      <c r="D91" s="39"/>
      <c r="E91" s="39"/>
      <c r="F91" s="5"/>
      <c r="G91" s="39"/>
      <c r="H91" s="1"/>
      <c r="I91" s="15">
        <v>7.41</v>
      </c>
      <c r="J91" s="15">
        <v>4.3099999999999996</v>
      </c>
    </row>
    <row r="92" spans="1:36">
      <c r="C92" s="39"/>
      <c r="D92" s="39"/>
      <c r="E92" s="39"/>
      <c r="F92" s="5"/>
      <c r="G92" s="39"/>
      <c r="H92" s="1"/>
      <c r="I92" s="15">
        <v>9.2200000000000006</v>
      </c>
      <c r="J92" s="15">
        <v>5.15</v>
      </c>
    </row>
    <row r="93" spans="1:36">
      <c r="I93" s="15">
        <v>11.11</v>
      </c>
      <c r="J93" s="15">
        <v>5.91</v>
      </c>
    </row>
    <row r="94" spans="1:36">
      <c r="I94" s="15">
        <v>13.01</v>
      </c>
      <c r="J94" s="15">
        <v>6.64</v>
      </c>
    </row>
  </sheetData>
  <mergeCells count="3">
    <mergeCell ref="F9:H9"/>
    <mergeCell ref="C12:D13"/>
    <mergeCell ref="B1:H7"/>
  </mergeCells>
  <pageMargins left="0.75" right="0.75" top="1" bottom="1" header="0.5" footer="0.5"/>
  <pageSetup orientation="portrait" horizontalDpi="360" verticalDpi="36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Title</vt:lpstr>
      <vt:lpstr>Instructiona &amp; Inputs</vt:lpstr>
      <vt:lpstr>Fiinding the Average</vt:lpstr>
      <vt:lpstr>Sale Day</vt:lpstr>
      <vt:lpstr>Feed Needs</vt:lpstr>
      <vt:lpstr>WC</vt:lpstr>
      <vt:lpstr>AC</vt:lpstr>
      <vt:lpstr>Weight Graph</vt:lpstr>
      <vt:lpstr>Age Graph</vt:lpstr>
      <vt:lpstr>Figure for Prose</vt:lpstr>
      <vt:lpstr>AC!Print_Area</vt:lpstr>
      <vt:lpstr>WC!Print_Area</vt:lpstr>
      <vt:lpstr>AC!Print_Area_MI</vt:lpstr>
      <vt:lpstr>WC!Print_Area_MI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Pesti</dc:creator>
  <cp:lastModifiedBy>Gene Michael Pesti</cp:lastModifiedBy>
  <cp:lastPrinted>1996-07-23T14:04:56Z</cp:lastPrinted>
  <dcterms:created xsi:type="dcterms:W3CDTF">1996-07-17T12:17:35Z</dcterms:created>
  <dcterms:modified xsi:type="dcterms:W3CDTF">2024-05-14T12:14:50Z</dcterms:modified>
</cp:coreProperties>
</file>